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35" yWindow="1170" windowWidth="15120" windowHeight="8010"/>
  </bookViews>
  <sheets>
    <sheet name="Отчет" sheetId="2" r:id="rId1"/>
  </sheets>
  <definedNames>
    <definedName name="_xlnm.Print_Area" localSheetId="0">Отчет!$A$1:$I$173</definedName>
  </definedNames>
  <calcPr calcId="124519"/>
</workbook>
</file>

<file path=xl/calcChain.xml><?xml version="1.0" encoding="utf-8"?>
<calcChain xmlns="http://schemas.openxmlformats.org/spreadsheetml/2006/main">
  <c r="F137" i="2"/>
  <c r="G130"/>
  <c r="G125"/>
  <c r="G121"/>
  <c r="G120"/>
  <c r="G135" s="1"/>
  <c r="F115"/>
  <c r="F114"/>
  <c r="G111"/>
  <c r="F99"/>
  <c r="F111" s="1"/>
  <c r="G89"/>
  <c r="G95" s="1"/>
  <c r="G97" s="1"/>
  <c r="F86"/>
  <c r="G81"/>
  <c r="F81"/>
  <c r="F80"/>
  <c r="F79"/>
  <c r="F78"/>
  <c r="G77"/>
  <c r="F77"/>
  <c r="F76"/>
  <c r="G75"/>
  <c r="F75"/>
  <c r="F74"/>
  <c r="G73"/>
  <c r="F73"/>
  <c r="G72"/>
  <c r="F72"/>
  <c r="G71"/>
  <c r="F71"/>
  <c r="G70"/>
  <c r="F70"/>
  <c r="G68"/>
  <c r="G83" s="1"/>
  <c r="F68"/>
  <c r="F83" s="1"/>
  <c r="G64"/>
  <c r="F64"/>
  <c r="E64"/>
  <c r="H63"/>
  <c r="H62"/>
  <c r="H61"/>
  <c r="H60"/>
  <c r="H64" s="1"/>
  <c r="G55"/>
  <c r="E55"/>
  <c r="G54"/>
  <c r="E54"/>
  <c r="F53"/>
  <c r="D53"/>
  <c r="D56" s="1"/>
  <c r="C53"/>
  <c r="C56" s="1"/>
  <c r="F52"/>
  <c r="F56" s="1"/>
  <c r="E52"/>
  <c r="F48"/>
  <c r="G40"/>
  <c r="G44" s="1"/>
  <c r="G34"/>
  <c r="G41" s="1"/>
  <c r="G30"/>
  <c r="E30"/>
  <c r="D25"/>
  <c r="D30" s="1"/>
  <c r="F30" s="1"/>
  <c r="H21"/>
  <c r="E21"/>
  <c r="D21"/>
  <c r="G19"/>
  <c r="G21" s="1"/>
  <c r="F19"/>
  <c r="F21" s="1"/>
  <c r="C19"/>
  <c r="C21" s="1"/>
  <c r="G12"/>
  <c r="F12"/>
  <c r="E12"/>
  <c r="D12"/>
  <c r="C12"/>
  <c r="H11"/>
  <c r="I20" s="1"/>
  <c r="H10"/>
  <c r="I19" s="1"/>
  <c r="G53" l="1"/>
  <c r="F117"/>
  <c r="F118" s="1"/>
  <c r="E37"/>
  <c r="E41" s="1"/>
  <c r="I21"/>
  <c r="G139"/>
  <c r="G114"/>
  <c r="G118" s="1"/>
  <c r="F139"/>
  <c r="G140" s="1"/>
  <c r="I10"/>
  <c r="I12" s="1"/>
  <c r="H12"/>
  <c r="G52"/>
  <c r="G56" s="1"/>
  <c r="E53"/>
  <c r="E56" s="1"/>
</calcChain>
</file>

<file path=xl/sharedStrings.xml><?xml version="1.0" encoding="utf-8"?>
<sst xmlns="http://schemas.openxmlformats.org/spreadsheetml/2006/main" count="194" uniqueCount="179">
  <si>
    <t>ТСЖ "Каменный цветок"</t>
  </si>
  <si>
    <t>ПРИХОД</t>
  </si>
  <si>
    <t>собственники</t>
  </si>
  <si>
    <t>орг-ции (доход)</t>
  </si>
  <si>
    <t>Касса</t>
  </si>
  <si>
    <t>Банк</t>
  </si>
  <si>
    <t>итого:</t>
  </si>
  <si>
    <t>Ресурсоснабжающие организации:</t>
  </si>
  <si>
    <t>Расходы на содержание :</t>
  </si>
  <si>
    <t>По факту</t>
  </si>
  <si>
    <t>Расходы на оплату труда, включая НДФЛ</t>
  </si>
  <si>
    <t>Взносы  в фонды</t>
  </si>
  <si>
    <t>Услуги охраны</t>
  </si>
  <si>
    <t>Услуги банка по РКО</t>
  </si>
  <si>
    <t>Услуги связи, почт.расходы,канц.товары,копиров, запр.картриджей</t>
  </si>
  <si>
    <t xml:space="preserve">Вывоз ТБО и КГМ </t>
  </si>
  <si>
    <t>Вывоз снега</t>
  </si>
  <si>
    <t>Услуги по бухгалтерскому обслуживанию</t>
  </si>
  <si>
    <t>ИТС (Инф. Техн. Сопровождение)</t>
  </si>
  <si>
    <t>Дератизация</t>
  </si>
  <si>
    <t>экспертиза</t>
  </si>
  <si>
    <t>лифтов</t>
  </si>
  <si>
    <t>ИТОГО:</t>
  </si>
  <si>
    <t>НЕПРЕДВИДЕННЫЕ РАСХОДЫ:</t>
  </si>
  <si>
    <t>ТЕКУЩИЙ РЕМОНТ:</t>
  </si>
  <si>
    <t>Расходов всего:</t>
  </si>
  <si>
    <t>в том числе:</t>
  </si>
  <si>
    <t>квартиры</t>
  </si>
  <si>
    <t>офисы</t>
  </si>
  <si>
    <t>парковки</t>
  </si>
  <si>
    <t>Кап.ремонт</t>
  </si>
  <si>
    <t>Взносы, налоги, з/плата</t>
  </si>
  <si>
    <t>Прочие (усл банка, пошлины, подотчет)</t>
  </si>
  <si>
    <t>долг</t>
  </si>
  <si>
    <t>переплата</t>
  </si>
  <si>
    <t>ИТОГО</t>
  </si>
  <si>
    <t>Средства на расч.счете</t>
  </si>
  <si>
    <t>Поставщики</t>
  </si>
  <si>
    <t>Страх.взносы</t>
  </si>
  <si>
    <t>З/плата</t>
  </si>
  <si>
    <t>Итого:</t>
  </si>
  <si>
    <t>перечислено на спец.счет</t>
  </si>
  <si>
    <t>РАСХОД</t>
  </si>
  <si>
    <r>
      <t xml:space="preserve">Дебеторская задолженность    </t>
    </r>
    <r>
      <rPr>
        <b/>
        <sz val="14"/>
        <color indexed="8"/>
        <rFont val="Calibri"/>
        <family val="2"/>
        <charset val="204"/>
      </rPr>
      <t>актив</t>
    </r>
    <r>
      <rPr>
        <b/>
        <sz val="11"/>
        <color indexed="8"/>
        <rFont val="Calibri"/>
        <family val="2"/>
        <charset val="204"/>
      </rPr>
      <t xml:space="preserve">  (тыс.руб)</t>
    </r>
  </si>
  <si>
    <r>
      <t xml:space="preserve">Кредиторская задолженность  </t>
    </r>
    <r>
      <rPr>
        <b/>
        <sz val="14"/>
        <color indexed="8"/>
        <rFont val="Calibri"/>
        <family val="2"/>
        <charset val="204"/>
      </rPr>
      <t>пассив</t>
    </r>
    <r>
      <rPr>
        <b/>
        <sz val="11"/>
        <color indexed="8"/>
        <rFont val="Calibri"/>
        <family val="2"/>
        <charset val="204"/>
      </rPr>
      <t xml:space="preserve"> (тыс.руб)</t>
    </r>
  </si>
  <si>
    <t>Баланс</t>
  </si>
  <si>
    <t>Спец счет</t>
  </si>
  <si>
    <t>Сдача наличных в банк/ переведено с др счета</t>
  </si>
  <si>
    <t>Остаток на конец</t>
  </si>
  <si>
    <t>Сдача наличных в банк/ перевод на др счет</t>
  </si>
  <si>
    <t>Начислено процентов</t>
  </si>
  <si>
    <t>Спец счет для кап ремонта</t>
  </si>
  <si>
    <t>год</t>
  </si>
  <si>
    <t>Задолженность жильцов на кап ремонт</t>
  </si>
  <si>
    <t>Кап ремонт начисления оплата по жильцам</t>
  </si>
  <si>
    <t>Услуги по обслуживанию системы видеонаблюдения и 8 дверей</t>
  </si>
  <si>
    <r>
      <t>Доходы от коммерческой деятельности</t>
    </r>
    <r>
      <rPr>
        <b/>
        <sz val="14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план//факт</t>
    </r>
  </si>
  <si>
    <t>ВСЕГО по году  экономия составила:</t>
  </si>
  <si>
    <t>покупатели</t>
  </si>
  <si>
    <t>Средства на спец.счете с 2014</t>
  </si>
  <si>
    <t>начислено на кап ремонт собств,  УФСБ</t>
  </si>
  <si>
    <t>собрано с собств и УФСБ</t>
  </si>
  <si>
    <t>Мегафон</t>
  </si>
  <si>
    <t>УФСБ</t>
  </si>
  <si>
    <t>Утвержден :</t>
  </si>
  <si>
    <t>Ресурсоснабжающие организации (по Актам):</t>
  </si>
  <si>
    <t>Распределено</t>
  </si>
  <si>
    <t xml:space="preserve">Расходы на кап.ремонт </t>
  </si>
  <si>
    <t>Задолженность по перечислению</t>
  </si>
  <si>
    <t>Перечислено на спец счет</t>
  </si>
  <si>
    <t>Начислено</t>
  </si>
  <si>
    <t>Оплата госпошлины по искам</t>
  </si>
  <si>
    <t xml:space="preserve"> Выполнение СМЕТЫ</t>
  </si>
  <si>
    <t>1. Не использованные целевые средсва кап.ремонта:</t>
  </si>
  <si>
    <t xml:space="preserve"> + начислены пени</t>
  </si>
  <si>
    <t>Остаток средств от коммерческой деятельности</t>
  </si>
  <si>
    <t>Не использованные средсва:  в том числе</t>
  </si>
  <si>
    <t xml:space="preserve">о проделанной работе за 2017год </t>
  </si>
  <si>
    <t>01.01.2017  по 31.12.2017</t>
  </si>
  <si>
    <t xml:space="preserve">Долги по ком.платежам на 31.12.2017г </t>
  </si>
  <si>
    <t>остаток на 01.01.17</t>
  </si>
  <si>
    <t>Остаток на спец. Счете на 31.12.17</t>
  </si>
  <si>
    <t>По факту:   оплаты                    с 01.01.  по 31.12.                   2017г</t>
  </si>
  <si>
    <t>Н сальдо на 31.12.2016г</t>
  </si>
  <si>
    <t>ВСЕГО приход за 2017г</t>
  </si>
  <si>
    <r>
      <t xml:space="preserve">По смете:                                         </t>
    </r>
    <r>
      <rPr>
        <b/>
        <sz val="8"/>
        <color indexed="8"/>
        <rFont val="Arial"/>
        <family val="2"/>
        <charset val="204"/>
      </rPr>
      <t>с 01.01. по 01.04.2017</t>
    </r>
    <r>
      <rPr>
        <b/>
        <sz val="9"/>
        <color indexed="8"/>
        <rFont val="Arial"/>
        <family val="2"/>
        <charset val="204"/>
      </rPr>
      <t xml:space="preserve">                            </t>
    </r>
    <r>
      <rPr>
        <b/>
        <sz val="8"/>
        <color indexed="8"/>
        <rFont val="Arial"/>
        <family val="2"/>
        <charset val="204"/>
      </rPr>
      <t xml:space="preserve">  с 01.04. по 31.12.2017</t>
    </r>
  </si>
  <si>
    <t>Обслуживание пожарной сигнализации</t>
  </si>
  <si>
    <t xml:space="preserve">ОТЧЕТ ПРАВЛЕНИЯ  </t>
  </si>
  <si>
    <t xml:space="preserve">прочее(госпош, возвраты, проценты) </t>
  </si>
  <si>
    <t>расход</t>
  </si>
  <si>
    <t xml:space="preserve"> Услуги обслуживающей организации  (ЖКХ НСК)</t>
  </si>
  <si>
    <t>Ключ ЭЦП</t>
  </si>
  <si>
    <t>Ремонт  шлагбаума</t>
  </si>
  <si>
    <t>Аренда земельного участка под шлагбаум</t>
  </si>
  <si>
    <t>Замена линолеума в лифтах</t>
  </si>
  <si>
    <t>ремонт подъездов</t>
  </si>
  <si>
    <t>Насос подпитки системы отопления</t>
  </si>
  <si>
    <t>Разметка</t>
  </si>
  <si>
    <t>Периодическая замена трансформаторов тока в ВРУ</t>
  </si>
  <si>
    <t>непредвиденные доходы</t>
  </si>
  <si>
    <t>Изготовление номеров этажей</t>
  </si>
  <si>
    <t>Фильт чугунный</t>
  </si>
  <si>
    <t>Покраска помещения ТСЖ</t>
  </si>
  <si>
    <t>Монтаж прожектора (пожарный выход  офисы)</t>
  </si>
  <si>
    <t>Благоустройство придомовой территории (посадка цветов, уход за насаждениями)</t>
  </si>
  <si>
    <t>Ремонт полов в парковке целевые средства</t>
  </si>
  <si>
    <t>Подотчет</t>
  </si>
  <si>
    <t>налог УСН</t>
  </si>
  <si>
    <t>остаток</t>
  </si>
  <si>
    <t>Собственники кв, офисы, парковка</t>
  </si>
  <si>
    <t>1. Подготовка дома к отопительному сезону.</t>
  </si>
  <si>
    <t>3.Прочищены фильтра на воде.</t>
  </si>
  <si>
    <t>4.Произведена промывка системы отопления.</t>
  </si>
  <si>
    <t xml:space="preserve">6.Промыли  бойлера:   отопление и  горячей воды офисы. </t>
  </si>
  <si>
    <t>2. Текущий ремонт.</t>
  </si>
  <si>
    <t>2. Обнавлена разметка территории.</t>
  </si>
  <si>
    <t>3.По решению Правления заменили  входную дверь в парковку, ввиду поломки старой двери.</t>
  </si>
  <si>
    <t>4.По решению Правления установили(перед ремонтом полов) дверь на посту охраны № 2 металлическую противопожарную.</t>
  </si>
  <si>
    <t>7.Выполнили работы по текущему ремонту в подъездах, установили лючки на индивидуальные приборы учета холодной и горячей воды.</t>
  </si>
  <si>
    <t>8.Покрасили обналичку  и двери лифтов, заменили линолеум в грузовых лифтах.</t>
  </si>
  <si>
    <t>9. Выполнен ремонт бетонных полов на парковке. Дополнительно отремонтировали полы в узлах ввода холодной воды в дом. Выполнили антискользящее покрытие на ступеньках в парковку.</t>
  </si>
  <si>
    <t>3. Выполнены решения:</t>
  </si>
  <si>
    <t>1.Заменили насос подпиточный. Изготовили новое основание.</t>
  </si>
  <si>
    <t>8.Получили "Паспорт готовности МКД к отопительному сезону".</t>
  </si>
  <si>
    <t>5. Покрасили стены в помещении ТСЖ.</t>
  </si>
  <si>
    <t>3. Отремонтировали облупившийся цоколь у входа в поликлинику, вдоль подъездов № 1,2,3,4, пандусов.</t>
  </si>
  <si>
    <t>6. Выполнили (по проекту) 2-ой ввод на дом холодной воды.</t>
  </si>
  <si>
    <t>10.Произвели ремонт противопожарных дверей на переходах, подклеили уплотнители, закрепили обналичку, отремонтировали ручки.</t>
  </si>
  <si>
    <t>11. Отремонтировали асфальтовое покрытие у шлагбаума. Подняли уровень дороги у тротуара.</t>
  </si>
  <si>
    <t>4. Покрасили металлические перила и лестницы со стороны офисных помещений. Установили прожектор над помещением ТСЖ и  пож.выхода с офисов.</t>
  </si>
  <si>
    <t>5.Завершили работы по ремонту парапета напротив 3,4 подъездов (гидроизоляция ). Договор от 03.10.2016 года.</t>
  </si>
  <si>
    <t>2.Отремонтировали ливневую трубу под пандусом, выход с крыши 4-го подъезда (заменили)</t>
  </si>
  <si>
    <t xml:space="preserve">1. Выполнили озеленение газона,высаживали цветы на клумбе. в вазоны. </t>
  </si>
  <si>
    <t>Аренда, парк места</t>
  </si>
  <si>
    <t>3. Финансовый результат на конец года с учетом прошлых лет</t>
  </si>
  <si>
    <t>Задолженность 2016г</t>
  </si>
  <si>
    <t>Превышения распределения</t>
  </si>
  <si>
    <t>МУП "Горводоканал" хол. вода и в/отв</t>
  </si>
  <si>
    <t>ОАО "Новосибирскэнергосбыт", эл. Энергия</t>
  </si>
  <si>
    <t xml:space="preserve">СИБЭКО </t>
  </si>
  <si>
    <t xml:space="preserve">ООО "Лифтстрой-С" Обсл.лифтов </t>
  </si>
  <si>
    <t>Итого</t>
  </si>
  <si>
    <t>Сибэк, экспертиза лифтов</t>
  </si>
  <si>
    <t>Компенсация за использование автомобиля</t>
  </si>
  <si>
    <t>Материалы для хоз нужды(ГСМ,лопаты,швабры, песок, краска,инвентарь)</t>
  </si>
  <si>
    <t>Ремонт ворот откатных</t>
  </si>
  <si>
    <t>Ремонт парапета крыши (альпинисты)</t>
  </si>
  <si>
    <t>ИТОГО затрат</t>
  </si>
  <si>
    <t>Возмещение ремонта шлагбаума сторонними организациями (доход)</t>
  </si>
  <si>
    <t>ИТОГО непредвиденных расходов с учетом возмещения</t>
  </si>
  <si>
    <t>Обслуживание бойлера</t>
  </si>
  <si>
    <t>Ремонт бойлера ГВС, замена 22 уплот.резинок</t>
  </si>
  <si>
    <t>Текущий ремонт</t>
  </si>
  <si>
    <t>Установка насоса</t>
  </si>
  <si>
    <t>Доходы</t>
  </si>
  <si>
    <t>Расходы</t>
  </si>
  <si>
    <t>факт</t>
  </si>
  <si>
    <t>прочие доходы</t>
  </si>
  <si>
    <t xml:space="preserve"> + превышение распределения ОДН</t>
  </si>
  <si>
    <t>Гирлянда на подъезды 3 шт +подготовка к НГ</t>
  </si>
  <si>
    <t>Ввод второй трубы ХВС</t>
  </si>
  <si>
    <t>Ремонт асфальта у шлагбаума</t>
  </si>
  <si>
    <t>Ремонт пожарных дверей</t>
  </si>
  <si>
    <t>Вывоз снега с территории</t>
  </si>
  <si>
    <t>Покраска ограждения метал. лестниц</t>
  </si>
  <si>
    <t>Ремонт лифта 2016год</t>
  </si>
  <si>
    <t>Юр услуги, раскрытие информации</t>
  </si>
  <si>
    <t>Ремонт полов в узлах ввода ХВС</t>
  </si>
  <si>
    <t>УСНО</t>
  </si>
  <si>
    <t>ВСЕГО по году  расходов</t>
  </si>
  <si>
    <t>7.Отремонтировали бойлер ГВС (жилье). Заменили 22 упротнительных резины.</t>
  </si>
  <si>
    <r>
      <rPr>
        <b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>.По решению Правления поданы заявления на вынесение судебного приказа к должникам.Судебные приказы получены, задолженность по ним взыскали и перечислили  на расчетный счет ТСЖ: 47 367,18 рублей; 69 632,51 рублей; 22 388,54 рублей; 120 061,26 рублей. Взыскана с должников и оплачена на расчетный счет ТСЖ госпошлина на сумму: 3 995,62 рублей.</t>
    </r>
  </si>
  <si>
    <r>
      <rPr>
        <b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.По решению Правления взыскали задолженность по квартире № 48 в Арбитражном суде на сумму : 35284,78 рублей; Затраты на юридические услуги в сумме 10 000,00 рублей; Госпошлину в размере 1000,00 рублей.</t>
    </r>
  </si>
  <si>
    <r>
      <rPr>
        <b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. Разместили информацию на государственных сайтах : Согласно Постановлению Правительства № 731 "О раскрытии информации организациями, осуществляющими деятельность в сфере управления МКД" ТСЖ произвело выкладку информации на www.reformagkh.ru и www.731.degkh.ru</t>
    </r>
  </si>
  <si>
    <r>
      <rPr>
        <b/>
        <sz val="12"/>
        <color indexed="8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. Подготовили программу 1С к выгрузке на сайт ГИС ЖКХ.</t>
    </r>
  </si>
  <si>
    <r>
      <rPr>
        <b/>
        <sz val="12"/>
        <color indexed="8"/>
        <rFont val="Times New Roman"/>
        <family val="1"/>
        <charset val="204"/>
      </rPr>
      <t>5</t>
    </r>
    <r>
      <rPr>
        <sz val="12"/>
        <color indexed="8"/>
        <rFont val="Times New Roman"/>
        <family val="1"/>
        <charset val="204"/>
      </rPr>
      <t xml:space="preserve">.Получено "РАЗРЕШЕНИЕ" на использование земель муниципальной собственности для размещения защитных сооружений (шлагбаума). S=5м.кв. При проведении проверки Администрацией Центрального округа было установлено, что шлагбаум расположен в 1ом метре  от нашего земельного участка (топосъемка). </t>
    </r>
  </si>
  <si>
    <r>
      <rPr>
        <b/>
        <sz val="12"/>
        <color indexed="8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>. Возместили через страховую компанию поломку шлагбаума 25.07.2017г частным водителем в сумме: 11 958,00 рублей. Перечислили на расчетный счет ТСЖ.</t>
    </r>
  </si>
  <si>
    <r>
      <rPr>
        <b/>
        <sz val="12"/>
        <color indexed="8"/>
        <rFont val="Times New Roman"/>
        <family val="1"/>
        <charset val="204"/>
      </rPr>
      <t>7</t>
    </r>
    <r>
      <rPr>
        <sz val="12"/>
        <color indexed="8"/>
        <rFont val="Times New Roman"/>
        <family val="1"/>
        <charset val="204"/>
      </rPr>
      <t>. Возместили через страховую компанию поломку шлагбаума 26.09.2017г частным водителем в сумме: 7 523,00 рублей. Перечислили на расчетный счет ТСЖ.</t>
    </r>
  </si>
  <si>
    <t xml:space="preserve">Протокол № 27 от  08.05.2018г  Общего собрания членов ТСЖ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</si>
</sst>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</numFmts>
  <fonts count="6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color indexed="8"/>
      <name val="Calibri"/>
      <family val="2"/>
      <charset val="204"/>
    </font>
    <font>
      <i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0"/>
      <color indexed="60"/>
      <name val="Arial"/>
      <family val="2"/>
      <charset val="204"/>
    </font>
    <font>
      <sz val="11"/>
      <color indexed="8"/>
      <name val="Arial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6"/>
      <color indexed="10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8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i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2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i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Border="1"/>
    <xf numFmtId="2" fontId="0" fillId="0" borderId="0" xfId="0" applyNumberFormat="1" applyBorder="1"/>
    <xf numFmtId="0" fontId="2" fillId="0" borderId="1" xfId="0" applyFont="1" applyFill="1" applyBorder="1"/>
    <xf numFmtId="0" fontId="0" fillId="0" borderId="2" xfId="0" applyBorder="1"/>
    <xf numFmtId="0" fontId="16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/>
    <xf numFmtId="0" fontId="0" fillId="0" borderId="0" xfId="0" applyAlignment="1">
      <alignment horizontal="center"/>
    </xf>
    <xf numFmtId="2" fontId="0" fillId="0" borderId="0" xfId="0" applyNumberFormat="1"/>
    <xf numFmtId="0" fontId="16" fillId="0" borderId="0" xfId="0" applyFont="1"/>
    <xf numFmtId="0" fontId="17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/>
    <xf numFmtId="4" fontId="0" fillId="0" borderId="0" xfId="0" applyNumberFormat="1"/>
    <xf numFmtId="0" fontId="20" fillId="0" borderId="0" xfId="0" applyFont="1" applyBorder="1" applyAlignment="1">
      <alignment horizontal="left"/>
    </xf>
    <xf numFmtId="4" fontId="18" fillId="0" borderId="3" xfId="0" applyNumberFormat="1" applyFont="1" applyBorder="1" applyAlignment="1">
      <alignment horizontal="center"/>
    </xf>
    <xf numFmtId="0" fontId="3" fillId="0" borderId="0" xfId="0" applyFont="1" applyBorder="1"/>
    <xf numFmtId="4" fontId="0" fillId="0" borderId="0" xfId="0" applyNumberFormat="1" applyBorder="1"/>
    <xf numFmtId="4" fontId="4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2" fillId="0" borderId="3" xfId="0" applyFont="1" applyBorder="1"/>
    <xf numFmtId="0" fontId="16" fillId="0" borderId="0" xfId="0" applyFont="1" applyFill="1" applyBorder="1"/>
    <xf numFmtId="0" fontId="4" fillId="0" borderId="0" xfId="0" applyFont="1" applyFill="1" applyBorder="1"/>
    <xf numFmtId="4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 applyBorder="1"/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3" fontId="18" fillId="0" borderId="3" xfId="3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2" xfId="0" applyFont="1" applyBorder="1"/>
    <xf numFmtId="0" fontId="0" fillId="0" borderId="3" xfId="0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43" fontId="14" fillId="0" borderId="0" xfId="3" applyFont="1" applyBorder="1"/>
    <xf numFmtId="4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3" fontId="25" fillId="0" borderId="3" xfId="3" applyFont="1" applyBorder="1" applyAlignment="1">
      <alignment horizontal="center" vertical="center" wrapText="1"/>
    </xf>
    <xf numFmtId="43" fontId="25" fillId="0" borderId="3" xfId="3" applyFont="1" applyFill="1" applyBorder="1" applyAlignment="1">
      <alignment horizontal="center" vertical="center" wrapText="1"/>
    </xf>
    <xf numFmtId="43" fontId="4" fillId="0" borderId="3" xfId="3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0" fillId="0" borderId="3" xfId="0" applyFont="1" applyFill="1" applyBorder="1"/>
    <xf numFmtId="4" fontId="19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0" fillId="0" borderId="0" xfId="0" applyNumberFormat="1"/>
    <xf numFmtId="4" fontId="6" fillId="0" borderId="1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Fill="1" applyBorder="1"/>
    <xf numFmtId="0" fontId="8" fillId="0" borderId="11" xfId="0" applyFont="1" applyFill="1" applyBorder="1"/>
    <xf numFmtId="0" fontId="27" fillId="0" borderId="11" xfId="0" applyFont="1" applyFill="1" applyBorder="1"/>
    <xf numFmtId="43" fontId="14" fillId="0" borderId="3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19" fillId="0" borderId="3" xfId="3" applyFont="1" applyBorder="1" applyAlignment="1">
      <alignment horizontal="center" wrapText="1"/>
    </xf>
    <xf numFmtId="4" fontId="2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3" fontId="14" fillId="0" borderId="4" xfId="3" applyFont="1" applyBorder="1" applyAlignment="1">
      <alignment horizontal="center"/>
    </xf>
    <xf numFmtId="43" fontId="25" fillId="0" borderId="8" xfId="3" applyFont="1" applyBorder="1" applyAlignment="1">
      <alignment horizontal="center" vertical="center" wrapText="1"/>
    </xf>
    <xf numFmtId="43" fontId="4" fillId="0" borderId="8" xfId="3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3" fontId="4" fillId="0" borderId="20" xfId="3" applyFont="1" applyBorder="1" applyAlignment="1">
      <alignment horizontal="center" vertical="center" wrapText="1"/>
    </xf>
    <xf numFmtId="43" fontId="25" fillId="0" borderId="4" xfId="3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7" fillId="0" borderId="1" xfId="0" applyFont="1" applyFill="1" applyBorder="1"/>
    <xf numFmtId="0" fontId="40" fillId="0" borderId="0" xfId="0" applyFont="1" applyFill="1"/>
    <xf numFmtId="0" fontId="41" fillId="0" borderId="0" xfId="0" applyFont="1" applyFill="1"/>
    <xf numFmtId="0" fontId="37" fillId="0" borderId="28" xfId="0" applyFont="1" applyFill="1" applyBorder="1"/>
    <xf numFmtId="0" fontId="37" fillId="0" borderId="29" xfId="0" applyFont="1" applyFill="1" applyBorder="1"/>
    <xf numFmtId="0" fontId="38" fillId="0" borderId="29" xfId="0" applyFont="1" applyFill="1" applyBorder="1"/>
    <xf numFmtId="0" fontId="0" fillId="0" borderId="29" xfId="0" applyFont="1" applyFill="1" applyBorder="1"/>
    <xf numFmtId="0" fontId="37" fillId="0" borderId="11" xfId="0" applyFont="1" applyFill="1" applyBorder="1"/>
    <xf numFmtId="0" fontId="0" fillId="0" borderId="0" xfId="0" applyFont="1" applyFill="1" applyBorder="1"/>
    <xf numFmtId="0" fontId="0" fillId="0" borderId="31" xfId="0" applyFont="1" applyFill="1" applyBorder="1"/>
    <xf numFmtId="0" fontId="0" fillId="0" borderId="0" xfId="0" applyFont="1" applyFill="1"/>
    <xf numFmtId="0" fontId="0" fillId="0" borderId="33" xfId="0" applyFont="1" applyFill="1" applyBorder="1"/>
    <xf numFmtId="4" fontId="42" fillId="0" borderId="35" xfId="0" applyNumberFormat="1" applyFont="1" applyFill="1" applyBorder="1" applyAlignment="1">
      <alignment horizontal="center"/>
    </xf>
    <xf numFmtId="4" fontId="42" fillId="0" borderId="24" xfId="0" applyNumberFormat="1" applyFont="1" applyFill="1" applyBorder="1" applyAlignment="1">
      <alignment horizontal="center"/>
    </xf>
    <xf numFmtId="4" fontId="42" fillId="0" borderId="33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/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/>
    <xf numFmtId="4" fontId="41" fillId="0" borderId="12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38" fillId="0" borderId="33" xfId="0" applyFont="1" applyFill="1" applyBorder="1"/>
    <xf numFmtId="4" fontId="39" fillId="0" borderId="35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0" fontId="38" fillId="0" borderId="0" xfId="0" applyFont="1" applyFill="1" applyBorder="1"/>
    <xf numFmtId="1" fontId="38" fillId="0" borderId="0" xfId="0" applyNumberFormat="1" applyFont="1" applyFill="1" applyBorder="1" applyAlignment="1">
      <alignment horizontal="center" vertical="center"/>
    </xf>
    <xf numFmtId="4" fontId="39" fillId="0" borderId="41" xfId="0" applyNumberFormat="1" applyFont="1" applyFill="1" applyBorder="1" applyAlignment="1">
      <alignment horizontal="center" vertical="center"/>
    </xf>
    <xf numFmtId="2" fontId="41" fillId="0" borderId="0" xfId="0" applyNumberFormat="1" applyFont="1" applyFill="1"/>
    <xf numFmtId="0" fontId="41" fillId="0" borderId="32" xfId="0" applyFont="1" applyFill="1" applyBorder="1"/>
    <xf numFmtId="0" fontId="41" fillId="0" borderId="0" xfId="0" applyFont="1" applyFill="1" applyBorder="1"/>
    <xf numFmtId="0" fontId="42" fillId="0" borderId="5" xfId="0" applyFont="1" applyFill="1" applyBorder="1" applyAlignment="1">
      <alignment horizontal="center"/>
    </xf>
    <xf numFmtId="0" fontId="48" fillId="0" borderId="3" xfId="0" applyFont="1" applyFill="1" applyBorder="1"/>
    <xf numFmtId="4" fontId="39" fillId="0" borderId="0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3" fontId="18" fillId="0" borderId="3" xfId="3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4" fontId="49" fillId="0" borderId="3" xfId="0" applyNumberFormat="1" applyFont="1" applyFill="1" applyBorder="1" applyAlignment="1">
      <alignment horizontal="center"/>
    </xf>
    <xf numFmtId="4" fontId="32" fillId="0" borderId="3" xfId="0" applyNumberFormat="1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/>
    <xf numFmtId="4" fontId="41" fillId="0" borderId="0" xfId="0" applyNumberFormat="1" applyFont="1" applyFill="1" applyBorder="1" applyAlignment="1">
      <alignment horizontal="center" vertical="center"/>
    </xf>
    <xf numFmtId="4" fontId="35" fillId="2" borderId="0" xfId="2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4" fontId="49" fillId="0" borderId="0" xfId="0" applyNumberFormat="1" applyFont="1" applyFill="1" applyAlignment="1">
      <alignment horizontal="center"/>
    </xf>
    <xf numFmtId="2" fontId="37" fillId="0" borderId="45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49" fillId="0" borderId="0" xfId="0" applyFont="1"/>
    <xf numFmtId="4" fontId="53" fillId="0" borderId="0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2" fontId="24" fillId="0" borderId="1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4" fontId="55" fillId="0" borderId="3" xfId="1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4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6" fillId="0" borderId="49" xfId="0" applyFont="1" applyBorder="1"/>
    <xf numFmtId="43" fontId="4" fillId="0" borderId="3" xfId="3" applyFont="1" applyFill="1" applyBorder="1" applyAlignment="1">
      <alignment horizontal="right" vertical="center"/>
    </xf>
    <xf numFmtId="43" fontId="22" fillId="0" borderId="6" xfId="3" applyFont="1" applyBorder="1" applyAlignment="1">
      <alignment horizontal="right"/>
    </xf>
    <xf numFmtId="43" fontId="38" fillId="0" borderId="3" xfId="3" applyFont="1" applyFill="1" applyBorder="1" applyAlignment="1">
      <alignment horizontal="right" vertical="center"/>
    </xf>
    <xf numFmtId="43" fontId="48" fillId="0" borderId="6" xfId="3" applyFont="1" applyFill="1" applyBorder="1" applyAlignment="1">
      <alignment horizontal="right"/>
    </xf>
    <xf numFmtId="43" fontId="54" fillId="0" borderId="6" xfId="3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1" fontId="39" fillId="0" borderId="51" xfId="0" applyNumberFormat="1" applyFont="1" applyFill="1" applyBorder="1" applyAlignment="1">
      <alignment horizontal="center" vertical="center"/>
    </xf>
    <xf numFmtId="0" fontId="39" fillId="0" borderId="51" xfId="0" applyFont="1" applyFill="1" applyBorder="1"/>
    <xf numFmtId="1" fontId="39" fillId="0" borderId="52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43" fontId="4" fillId="0" borderId="15" xfId="3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4" fontId="27" fillId="0" borderId="4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43" fontId="38" fillId="0" borderId="22" xfId="3" applyFont="1" applyFill="1" applyBorder="1" applyAlignment="1">
      <alignment horizontal="right"/>
    </xf>
    <xf numFmtId="165" fontId="38" fillId="0" borderId="22" xfId="3" applyNumberFormat="1" applyFont="1" applyFill="1" applyBorder="1" applyAlignment="1">
      <alignment horizontal="right"/>
    </xf>
    <xf numFmtId="43" fontId="38" fillId="0" borderId="23" xfId="3" applyFont="1" applyFill="1" applyBorder="1" applyAlignment="1">
      <alignment horizontal="right"/>
    </xf>
    <xf numFmtId="43" fontId="4" fillId="0" borderId="23" xfId="3" applyFont="1" applyFill="1" applyBorder="1" applyAlignment="1">
      <alignment horizontal="right"/>
    </xf>
    <xf numFmtId="165" fontId="38" fillId="0" borderId="23" xfId="3" applyNumberFormat="1" applyFont="1" applyFill="1" applyBorder="1" applyAlignment="1">
      <alignment horizontal="right"/>
    </xf>
    <xf numFmtId="165" fontId="24" fillId="0" borderId="23" xfId="3" applyNumberFormat="1" applyFont="1" applyFill="1" applyBorder="1" applyAlignment="1">
      <alignment horizontal="right"/>
    </xf>
    <xf numFmtId="43" fontId="38" fillId="0" borderId="24" xfId="3" applyFont="1" applyFill="1" applyBorder="1" applyAlignment="1">
      <alignment horizontal="center"/>
    </xf>
    <xf numFmtId="43" fontId="4" fillId="0" borderId="24" xfId="3" applyFont="1" applyFill="1" applyBorder="1" applyAlignment="1">
      <alignment horizontal="right"/>
    </xf>
    <xf numFmtId="43" fontId="24" fillId="0" borderId="57" xfId="3" applyFont="1" applyFill="1" applyBorder="1" applyAlignment="1">
      <alignment horizontal="center"/>
    </xf>
    <xf numFmtId="0" fontId="39" fillId="0" borderId="28" xfId="0" applyFont="1" applyFill="1" applyBorder="1" applyAlignment="1">
      <alignment vertical="center"/>
    </xf>
    <xf numFmtId="43" fontId="40" fillId="0" borderId="0" xfId="0" applyNumberFormat="1" applyFont="1" applyFill="1"/>
    <xf numFmtId="4" fontId="40" fillId="0" borderId="54" xfId="0" applyNumberFormat="1" applyFont="1" applyFill="1" applyBorder="1" applyAlignment="1">
      <alignment horizontal="center" vertical="center"/>
    </xf>
    <xf numFmtId="43" fontId="40" fillId="0" borderId="23" xfId="3" applyFont="1" applyFill="1" applyBorder="1" applyAlignment="1">
      <alignment horizontal="right" vertical="center"/>
    </xf>
    <xf numFmtId="4" fontId="1" fillId="0" borderId="0" xfId="0" applyNumberFormat="1" applyFont="1" applyFill="1"/>
    <xf numFmtId="43" fontId="40" fillId="0" borderId="23" xfId="3" applyFont="1" applyFill="1" applyBorder="1" applyAlignment="1">
      <alignment horizontal="right"/>
    </xf>
    <xf numFmtId="43" fontId="40" fillId="0" borderId="40" xfId="3" applyFont="1" applyFill="1" applyBorder="1" applyAlignment="1">
      <alignment horizontal="right" vertical="center"/>
    </xf>
    <xf numFmtId="4" fontId="40" fillId="0" borderId="18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3" fontId="40" fillId="0" borderId="12" xfId="3" applyFont="1" applyFill="1" applyBorder="1" applyAlignment="1">
      <alignment horizontal="right" vertical="center"/>
    </xf>
    <xf numFmtId="4" fontId="1" fillId="0" borderId="0" xfId="0" applyNumberFormat="1" applyFont="1"/>
    <xf numFmtId="0" fontId="43" fillId="0" borderId="32" xfId="0" applyFont="1" applyFill="1" applyBorder="1"/>
    <xf numFmtId="0" fontId="43" fillId="0" borderId="33" xfId="0" applyFont="1" applyFill="1" applyBorder="1"/>
    <xf numFmtId="0" fontId="0" fillId="0" borderId="0" xfId="0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/>
    <xf numFmtId="0" fontId="37" fillId="0" borderId="9" xfId="0" applyFont="1" applyFill="1" applyBorder="1"/>
    <xf numFmtId="0" fontId="37" fillId="0" borderId="9" xfId="0" applyFont="1" applyFill="1" applyBorder="1" applyAlignment="1">
      <alignment wrapText="1"/>
    </xf>
    <xf numFmtId="4" fontId="39" fillId="0" borderId="9" xfId="0" applyNumberFormat="1" applyFont="1" applyFill="1" applyBorder="1" applyAlignment="1">
      <alignment horizontal="center" vertical="center"/>
    </xf>
    <xf numFmtId="2" fontId="37" fillId="0" borderId="14" xfId="0" applyNumberFormat="1" applyFont="1" applyFill="1" applyBorder="1" applyAlignment="1">
      <alignment horizontal="center" vertical="center"/>
    </xf>
    <xf numFmtId="2" fontId="36" fillId="0" borderId="6" xfId="2" applyNumberFormat="1" applyFont="1" applyFill="1" applyBorder="1" applyAlignment="1">
      <alignment horizontal="right" vertical="top" wrapText="1"/>
    </xf>
    <xf numFmtId="4" fontId="36" fillId="0" borderId="6" xfId="2" applyNumberFormat="1" applyFont="1" applyFill="1" applyBorder="1" applyAlignment="1">
      <alignment horizontal="right" vertical="top" wrapText="1"/>
    </xf>
    <xf numFmtId="4" fontId="41" fillId="0" borderId="0" xfId="0" applyNumberFormat="1" applyFont="1" applyFill="1"/>
    <xf numFmtId="4" fontId="42" fillId="0" borderId="35" xfId="0" applyNumberFormat="1" applyFont="1" applyFill="1" applyBorder="1" applyAlignment="1">
      <alignment horizontal="right" vertical="center"/>
    </xf>
    <xf numFmtId="4" fontId="5" fillId="0" borderId="10" xfId="2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57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" fontId="6" fillId="0" borderId="10" xfId="2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/>
    <xf numFmtId="4" fontId="36" fillId="0" borderId="14" xfId="2" applyNumberFormat="1" applyFont="1" applyFill="1" applyBorder="1" applyAlignment="1">
      <alignment horizontal="right" vertical="top" wrapText="1"/>
    </xf>
    <xf numFmtId="0" fontId="1" fillId="0" borderId="0" xfId="0" applyFont="1" applyFill="1"/>
    <xf numFmtId="4" fontId="0" fillId="0" borderId="0" xfId="0" applyNumberFormat="1" applyFont="1" applyFill="1"/>
    <xf numFmtId="1" fontId="45" fillId="0" borderId="0" xfId="0" applyNumberFormat="1" applyFont="1" applyFill="1" applyBorder="1"/>
    <xf numFmtId="4" fontId="36" fillId="0" borderId="61" xfId="2" applyNumberFormat="1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4" fontId="36" fillId="0" borderId="35" xfId="2" applyNumberFormat="1" applyFont="1" applyFill="1" applyBorder="1" applyAlignment="1">
      <alignment horizontal="right" vertical="top" wrapText="1"/>
    </xf>
    <xf numFmtId="4" fontId="39" fillId="0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4" fontId="39" fillId="0" borderId="3" xfId="0" applyNumberFormat="1" applyFont="1" applyFill="1" applyBorder="1" applyAlignment="1">
      <alignment horizontal="center" vertical="center"/>
    </xf>
    <xf numFmtId="4" fontId="46" fillId="0" borderId="3" xfId="0" applyNumberFormat="1" applyFont="1" applyFill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4" fontId="11" fillId="0" borderId="0" xfId="0" applyNumberFormat="1" applyFont="1" applyBorder="1" applyAlignment="1">
      <alignment horizontal="center" vertical="center"/>
    </xf>
    <xf numFmtId="4" fontId="58" fillId="0" borderId="0" xfId="0" applyNumberFormat="1" applyFont="1" applyBorder="1"/>
    <xf numFmtId="4" fontId="14" fillId="0" borderId="47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/>
    </xf>
    <xf numFmtId="2" fontId="28" fillId="0" borderId="0" xfId="0" applyNumberFormat="1" applyFont="1" applyBorder="1"/>
    <xf numFmtId="4" fontId="19" fillId="0" borderId="35" xfId="0" applyNumberFormat="1" applyFont="1" applyBorder="1" applyAlignment="1">
      <alignment horizontal="center" vertical="center"/>
    </xf>
    <xf numFmtId="2" fontId="2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9" fillId="0" borderId="8" xfId="0" applyNumberFormat="1" applyFont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6" fillId="0" borderId="15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 vertical="center" wrapText="1"/>
    </xf>
    <xf numFmtId="0" fontId="59" fillId="0" borderId="0" xfId="0" applyFont="1" applyAlignment="1"/>
    <xf numFmtId="0" fontId="59" fillId="0" borderId="0" xfId="0" applyFont="1"/>
    <xf numFmtId="0" fontId="8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/>
    <xf numFmtId="0" fontId="62" fillId="0" borderId="0" xfId="0" applyFont="1" applyAlignment="1">
      <alignment horizontal="left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49" fillId="0" borderId="25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9" fillId="0" borderId="3" xfId="0" applyFont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0" fontId="31" fillId="0" borderId="35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7" fillId="0" borderId="55" xfId="0" applyFont="1" applyFill="1" applyBorder="1" applyAlignment="1">
      <alignment horizontal="left"/>
    </xf>
    <xf numFmtId="0" fontId="37" fillId="0" borderId="3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40" fillId="0" borderId="4" xfId="0" applyFont="1" applyFill="1" applyBorder="1" applyAlignment="1">
      <alignment horizontal="left"/>
    </xf>
    <xf numFmtId="0" fontId="40" fillId="0" borderId="8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0" fontId="40" fillId="0" borderId="5" xfId="0" applyFont="1" applyFill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0" fontId="40" fillId="0" borderId="38" xfId="0" applyFont="1" applyFill="1" applyBorder="1" applyAlignment="1">
      <alignment horizontal="left"/>
    </xf>
    <xf numFmtId="0" fontId="40" fillId="0" borderId="7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left"/>
    </xf>
    <xf numFmtId="0" fontId="40" fillId="0" borderId="9" xfId="0" applyFont="1" applyFill="1" applyBorder="1" applyAlignment="1">
      <alignment horizontal="left"/>
    </xf>
    <xf numFmtId="0" fontId="40" fillId="0" borderId="14" xfId="0" applyFont="1" applyFill="1" applyBorder="1" applyAlignment="1">
      <alignment horizontal="left"/>
    </xf>
    <xf numFmtId="4" fontId="40" fillId="0" borderId="45" xfId="0" applyNumberFormat="1" applyFont="1" applyFill="1" applyBorder="1" applyAlignment="1">
      <alignment horizontal="center" vertical="center"/>
    </xf>
    <xf numFmtId="4" fontId="40" fillId="0" borderId="58" xfId="0" applyNumberFormat="1" applyFont="1" applyFill="1" applyBorder="1" applyAlignment="1">
      <alignment horizontal="center" vertical="center"/>
    </xf>
    <xf numFmtId="43" fontId="40" fillId="0" borderId="41" xfId="3" applyFont="1" applyFill="1" applyBorder="1" applyAlignment="1">
      <alignment horizontal="right" vertical="center"/>
    </xf>
    <xf numFmtId="43" fontId="40" fillId="0" borderId="46" xfId="3" applyFont="1" applyFill="1" applyBorder="1" applyAlignment="1">
      <alignment horizontal="right" vertical="center"/>
    </xf>
    <xf numFmtId="0" fontId="40" fillId="0" borderId="25" xfId="0" applyFont="1" applyFill="1" applyBorder="1" applyAlignment="1">
      <alignment horizontal="left"/>
    </xf>
    <xf numFmtId="0" fontId="40" fillId="0" borderId="26" xfId="0" applyFont="1" applyFill="1" applyBorder="1" applyAlignment="1">
      <alignment horizontal="left"/>
    </xf>
    <xf numFmtId="0" fontId="40" fillId="0" borderId="54" xfId="0" applyFont="1" applyFill="1" applyBorder="1" applyAlignment="1">
      <alignment horizontal="left"/>
    </xf>
    <xf numFmtId="43" fontId="31" fillId="0" borderId="0" xfId="3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8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48" fillId="0" borderId="3" xfId="0" applyFont="1" applyFill="1" applyBorder="1" applyAlignment="1">
      <alignment horizontal="left" wrapText="1"/>
    </xf>
    <xf numFmtId="0" fontId="0" fillId="0" borderId="3" xfId="0" applyFont="1" applyFill="1" applyBorder="1"/>
    <xf numFmtId="0" fontId="48" fillId="0" borderId="3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9" fillId="0" borderId="48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4" fillId="0" borderId="7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17" fontId="0" fillId="0" borderId="3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</cellXfs>
  <cellStyles count="4">
    <cellStyle name="Обычный" xfId="0" builtinId="0"/>
    <cellStyle name="Обычный_Лист1" xfId="1"/>
    <cellStyle name="Обычный_Отчет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view="pageBreakPreview" zoomScale="85" zoomScaleSheetLayoutView="85" workbookViewId="0">
      <selection activeCell="K8" sqref="K8"/>
    </sheetView>
  </sheetViews>
  <sheetFormatPr defaultRowHeight="15"/>
  <cols>
    <col min="1" max="1" width="0.28515625" customWidth="1"/>
    <col min="2" max="2" width="8.85546875" customWidth="1"/>
    <col min="3" max="3" width="13" customWidth="1"/>
    <col min="4" max="4" width="12.85546875" customWidth="1"/>
    <col min="5" max="5" width="15.5703125" customWidth="1"/>
    <col min="6" max="6" width="16.7109375" customWidth="1"/>
    <col min="7" max="7" width="16.42578125" customWidth="1"/>
    <col min="8" max="8" width="15" customWidth="1"/>
    <col min="9" max="9" width="14.140625" customWidth="1"/>
  </cols>
  <sheetData>
    <row r="1" spans="1:9">
      <c r="B1" s="158" t="s">
        <v>0</v>
      </c>
      <c r="G1" s="1"/>
      <c r="I1" s="1" t="s">
        <v>64</v>
      </c>
    </row>
    <row r="2" spans="1:9">
      <c r="B2" s="158"/>
      <c r="G2" s="1"/>
      <c r="I2" s="1" t="s">
        <v>178</v>
      </c>
    </row>
    <row r="3" spans="1:9" ht="23.25">
      <c r="B3" s="2"/>
      <c r="C3" s="363" t="s">
        <v>87</v>
      </c>
      <c r="D3" s="363"/>
      <c r="E3" s="363"/>
      <c r="F3" s="363"/>
      <c r="G3" s="159"/>
    </row>
    <row r="4" spans="1:9" ht="21">
      <c r="A4" s="3"/>
      <c r="B4" s="42"/>
      <c r="C4" s="364" t="s">
        <v>77</v>
      </c>
      <c r="D4" s="364"/>
      <c r="E4" s="364"/>
      <c r="F4" s="364"/>
      <c r="G4" s="160"/>
      <c r="H4" s="6"/>
      <c r="I4" s="6"/>
    </row>
    <row r="5" spans="1:9" ht="21">
      <c r="A5" s="3"/>
      <c r="B5" s="23"/>
      <c r="C5" s="41"/>
      <c r="D5" s="41"/>
      <c r="E5" s="41"/>
      <c r="F5" s="41"/>
      <c r="G5" s="161"/>
      <c r="H5" s="3"/>
      <c r="I5" s="3"/>
    </row>
    <row r="6" spans="1:9" ht="18">
      <c r="A6" s="3"/>
      <c r="B6" s="329" t="s">
        <v>1</v>
      </c>
      <c r="C6" s="329"/>
      <c r="D6" s="329"/>
      <c r="E6" s="329"/>
      <c r="F6" s="329"/>
      <c r="G6" s="329"/>
      <c r="H6" s="329"/>
      <c r="I6" s="3"/>
    </row>
    <row r="7" spans="1:9">
      <c r="B7" s="365"/>
      <c r="C7" s="366" t="s">
        <v>83</v>
      </c>
      <c r="D7" s="368" t="s">
        <v>78</v>
      </c>
      <c r="E7" s="369"/>
      <c r="F7" s="369"/>
      <c r="G7" s="369"/>
      <c r="H7" s="369"/>
      <c r="I7" s="356" t="s">
        <v>40</v>
      </c>
    </row>
    <row r="8" spans="1:9" ht="75">
      <c r="B8" s="365"/>
      <c r="C8" s="367"/>
      <c r="D8" s="157" t="s">
        <v>2</v>
      </c>
      <c r="E8" s="157" t="s">
        <v>47</v>
      </c>
      <c r="F8" s="157" t="s">
        <v>88</v>
      </c>
      <c r="G8" s="157" t="s">
        <v>3</v>
      </c>
      <c r="H8" s="36" t="s">
        <v>84</v>
      </c>
      <c r="I8" s="357"/>
    </row>
    <row r="9" spans="1:9">
      <c r="B9" s="27" t="s">
        <v>4</v>
      </c>
      <c r="C9" s="157">
        <v>0</v>
      </c>
      <c r="D9" s="157"/>
      <c r="E9" s="157"/>
      <c r="F9" s="157"/>
      <c r="G9" s="157"/>
      <c r="H9" s="36"/>
      <c r="I9" s="155"/>
    </row>
    <row r="10" spans="1:9">
      <c r="B10" s="27" t="s">
        <v>5</v>
      </c>
      <c r="C10" s="17">
        <v>504885.89</v>
      </c>
      <c r="D10" s="17">
        <v>13727390.539999999</v>
      </c>
      <c r="E10" s="17"/>
      <c r="F10" s="22">
        <v>93895.71</v>
      </c>
      <c r="G10" s="62">
        <v>1011426.78</v>
      </c>
      <c r="H10" s="37">
        <f>SUM(D10:G10)</f>
        <v>14832713.029999999</v>
      </c>
      <c r="I10" s="17">
        <f>C10+H10</f>
        <v>15337598.92</v>
      </c>
    </row>
    <row r="11" spans="1:9" ht="15.75" thickBot="1">
      <c r="B11" s="67" t="s">
        <v>46</v>
      </c>
      <c r="C11" s="54">
        <v>940072.08</v>
      </c>
      <c r="D11" s="54">
        <v>5400.95</v>
      </c>
      <c r="E11" s="54">
        <v>1711493.32</v>
      </c>
      <c r="F11" s="55">
        <v>57431.35</v>
      </c>
      <c r="G11" s="54"/>
      <c r="H11" s="37">
        <f>SUM(D11:G11)</f>
        <v>1774325.62</v>
      </c>
      <c r="I11" s="17"/>
    </row>
    <row r="12" spans="1:9" ht="15.75" thickBot="1">
      <c r="B12" s="68" t="s">
        <v>6</v>
      </c>
      <c r="C12" s="56">
        <f>SUM(C10:C11)</f>
        <v>1444957.97</v>
      </c>
      <c r="D12" s="57">
        <f>SUM(D10:D11)</f>
        <v>13732791.489999998</v>
      </c>
      <c r="E12" s="57">
        <f>SUM(E10:E11)</f>
        <v>1711493.32</v>
      </c>
      <c r="F12" s="57">
        <f>SUM(F9:F11)</f>
        <v>151327.06</v>
      </c>
      <c r="G12" s="57">
        <f>SUM(G10:G11)</f>
        <v>1011426.78</v>
      </c>
      <c r="H12" s="57">
        <f>SUM(H10:H11)</f>
        <v>16607038.649999999</v>
      </c>
      <c r="I12" s="69">
        <f>SUM(I9:I11)</f>
        <v>15337598.92</v>
      </c>
    </row>
    <row r="13" spans="1:9">
      <c r="B13" s="70"/>
      <c r="C13" s="38"/>
      <c r="D13" s="38"/>
      <c r="E13" s="38"/>
      <c r="F13" s="38"/>
      <c r="G13" s="38"/>
      <c r="H13" s="25"/>
      <c r="I13" s="38"/>
    </row>
    <row r="14" spans="1:9" ht="18">
      <c r="B14" s="358" t="s">
        <v>42</v>
      </c>
      <c r="C14" s="358"/>
      <c r="D14" s="358"/>
      <c r="E14" s="358"/>
      <c r="F14" s="358"/>
      <c r="G14" s="358"/>
      <c r="H14" s="11"/>
      <c r="I14" s="60"/>
    </row>
    <row r="15" spans="1:9">
      <c r="A15" s="3"/>
      <c r="B15" s="359" t="s">
        <v>25</v>
      </c>
      <c r="C15" s="359"/>
      <c r="D15" s="360" t="s">
        <v>26</v>
      </c>
      <c r="E15" s="360"/>
      <c r="F15" s="360"/>
      <c r="G15" s="360"/>
      <c r="H15" s="360"/>
      <c r="I15" s="356" t="s">
        <v>48</v>
      </c>
    </row>
    <row r="16" spans="1:9" ht="51">
      <c r="B16" s="359"/>
      <c r="C16" s="359"/>
      <c r="D16" s="61" t="s">
        <v>37</v>
      </c>
      <c r="E16" s="43" t="s">
        <v>30</v>
      </c>
      <c r="F16" s="43" t="s">
        <v>31</v>
      </c>
      <c r="G16" s="44" t="s">
        <v>32</v>
      </c>
      <c r="H16" s="44" t="s">
        <v>49</v>
      </c>
      <c r="I16" s="357"/>
    </row>
    <row r="17" spans="1:9">
      <c r="B17" s="27"/>
      <c r="C17" s="27" t="s">
        <v>89</v>
      </c>
      <c r="D17" s="17"/>
      <c r="E17" s="17"/>
      <c r="F17" s="131"/>
      <c r="G17" s="132"/>
      <c r="H17" s="133"/>
      <c r="I17" s="133"/>
    </row>
    <row r="18" spans="1:9">
      <c r="B18" s="71" t="s">
        <v>4</v>
      </c>
      <c r="C18" s="22"/>
      <c r="D18" s="40"/>
      <c r="E18" s="40"/>
      <c r="F18" s="127"/>
      <c r="G18" s="128"/>
      <c r="H18" s="131"/>
      <c r="I18" s="131"/>
    </row>
    <row r="19" spans="1:9">
      <c r="B19" s="71" t="s">
        <v>5</v>
      </c>
      <c r="C19" s="22">
        <f>SUM(D19:H19)</f>
        <v>14861862.500000002</v>
      </c>
      <c r="D19" s="22">
        <v>11616307.15</v>
      </c>
      <c r="E19" s="22"/>
      <c r="F19" s="127">
        <f>1328287.06+11555</f>
        <v>1339842.06</v>
      </c>
      <c r="G19" s="128">
        <f>59612.38+160706.25</f>
        <v>220318.63</v>
      </c>
      <c r="H19" s="131">
        <v>1685394.66</v>
      </c>
      <c r="I19" s="127">
        <f>C10+H10-C19</f>
        <v>475736.41999999806</v>
      </c>
    </row>
    <row r="20" spans="1:9">
      <c r="B20" s="71" t="s">
        <v>46</v>
      </c>
      <c r="C20" s="40"/>
      <c r="D20" s="40"/>
      <c r="E20" s="40"/>
      <c r="F20" s="129"/>
      <c r="G20" s="129"/>
      <c r="H20" s="129"/>
      <c r="I20" s="131">
        <f>C11+H11</f>
        <v>2714397.7</v>
      </c>
    </row>
    <row r="21" spans="1:9">
      <c r="B21" s="71"/>
      <c r="C21" s="39">
        <f t="shared" ref="C21:I21" si="0">SUM(C18:C20)</f>
        <v>14861862.500000002</v>
      </c>
      <c r="D21" s="39">
        <f t="shared" si="0"/>
        <v>11616307.15</v>
      </c>
      <c r="E21" s="39">
        <f t="shared" si="0"/>
        <v>0</v>
      </c>
      <c r="F21" s="130">
        <f t="shared" si="0"/>
        <v>1339842.06</v>
      </c>
      <c r="G21" s="130">
        <f t="shared" si="0"/>
        <v>220318.63</v>
      </c>
      <c r="H21" s="130">
        <f t="shared" si="0"/>
        <v>1685394.66</v>
      </c>
      <c r="I21" s="131">
        <f t="shared" si="0"/>
        <v>3190134.1199999982</v>
      </c>
    </row>
    <row r="22" spans="1:9">
      <c r="B22" s="11"/>
      <c r="C22" s="11"/>
      <c r="D22" s="70"/>
      <c r="E22" s="70"/>
      <c r="F22" s="70"/>
      <c r="G22" s="162"/>
      <c r="H22" s="38"/>
      <c r="I22" s="11"/>
    </row>
    <row r="23" spans="1:9" ht="18">
      <c r="B23" s="73" t="s">
        <v>79</v>
      </c>
      <c r="C23" s="149"/>
      <c r="D23" s="149"/>
      <c r="E23" s="149"/>
      <c r="F23" s="11"/>
      <c r="G23" s="163"/>
      <c r="H23" s="11"/>
      <c r="I23" s="60"/>
    </row>
    <row r="24" spans="1:9" ht="15.75">
      <c r="B24" s="361" t="s">
        <v>26</v>
      </c>
      <c r="C24" s="362"/>
      <c r="D24" s="27" t="s">
        <v>33</v>
      </c>
      <c r="E24" s="27" t="s">
        <v>34</v>
      </c>
      <c r="F24" s="27"/>
      <c r="G24" s="156"/>
      <c r="H24" s="11"/>
      <c r="I24" s="60"/>
    </row>
    <row r="25" spans="1:9">
      <c r="B25" s="370" t="s">
        <v>27</v>
      </c>
      <c r="C25" s="371"/>
      <c r="D25" s="164">
        <f>1478766.35</f>
        <v>1478766.35</v>
      </c>
      <c r="E25" s="165">
        <v>-36536.32</v>
      </c>
      <c r="F25" s="72"/>
      <c r="G25" s="63"/>
      <c r="H25" s="11"/>
      <c r="I25" s="11"/>
    </row>
    <row r="26" spans="1:9">
      <c r="B26" s="370" t="s">
        <v>28</v>
      </c>
      <c r="C26" s="371"/>
      <c r="D26" s="166">
        <v>231197.98</v>
      </c>
      <c r="E26" s="166">
        <v>-47932.09</v>
      </c>
      <c r="F26" s="72"/>
      <c r="G26" s="63"/>
      <c r="H26" s="11"/>
      <c r="I26" s="11"/>
    </row>
    <row r="27" spans="1:9">
      <c r="B27" s="370" t="s">
        <v>29</v>
      </c>
      <c r="C27" s="371"/>
      <c r="D27" s="164">
        <v>873924.26</v>
      </c>
      <c r="E27" s="165">
        <v>-13213.54</v>
      </c>
      <c r="F27" s="72"/>
      <c r="G27" s="63"/>
      <c r="H27" s="11"/>
      <c r="I27" s="11"/>
    </row>
    <row r="28" spans="1:9">
      <c r="B28" s="352" t="s">
        <v>62</v>
      </c>
      <c r="C28" s="353"/>
      <c r="D28" s="164">
        <v>5053.74</v>
      </c>
      <c r="E28" s="165"/>
      <c r="F28" s="72"/>
      <c r="G28" s="63"/>
      <c r="H28" s="11"/>
      <c r="I28" s="11"/>
    </row>
    <row r="29" spans="1:9">
      <c r="B29" s="352" t="s">
        <v>63</v>
      </c>
      <c r="C29" s="353"/>
      <c r="D29" s="164"/>
      <c r="E29" s="165">
        <v>-25466.66</v>
      </c>
      <c r="F29" s="72"/>
      <c r="G29" s="63"/>
      <c r="H29" s="11"/>
      <c r="I29" s="11"/>
    </row>
    <row r="30" spans="1:9">
      <c r="B30" s="354" t="s">
        <v>35</v>
      </c>
      <c r="C30" s="355"/>
      <c r="D30" s="167">
        <f>SUM(D25:D29)</f>
        <v>2588942.33</v>
      </c>
      <c r="E30" s="167">
        <f>SUM(E25:E29)</f>
        <v>-123148.61000000002</v>
      </c>
      <c r="F30" s="168">
        <f>D30+E30</f>
        <v>2465793.7200000002</v>
      </c>
      <c r="G30" s="64">
        <f>SUM(G25:G27)</f>
        <v>0</v>
      </c>
      <c r="H30" s="11"/>
      <c r="I30" s="60"/>
    </row>
    <row r="31" spans="1:9" ht="15.75">
      <c r="A31" s="3"/>
      <c r="B31" s="26"/>
      <c r="C31" s="3"/>
      <c r="D31" s="15"/>
      <c r="E31" s="3"/>
      <c r="F31" s="3"/>
      <c r="G31" s="169"/>
      <c r="H31" s="4"/>
      <c r="I31" s="3"/>
    </row>
    <row r="32" spans="1:9" ht="18.75" thickBot="1">
      <c r="A32" s="3"/>
      <c r="B32" s="30"/>
      <c r="C32" s="19"/>
      <c r="D32" s="35" t="s">
        <v>45</v>
      </c>
      <c r="E32" s="19"/>
      <c r="F32" s="19"/>
      <c r="G32" s="32"/>
      <c r="H32" s="4"/>
      <c r="I32" s="3"/>
    </row>
    <row r="33" spans="1:9">
      <c r="A33" s="3"/>
      <c r="B33" s="170"/>
      <c r="C33" s="347" t="s">
        <v>43</v>
      </c>
      <c r="D33" s="348"/>
      <c r="E33" s="348"/>
      <c r="F33" s="349" t="s">
        <v>44</v>
      </c>
      <c r="G33" s="350"/>
      <c r="H33" s="4"/>
      <c r="I33" s="3"/>
    </row>
    <row r="34" spans="1:9">
      <c r="A34" s="3"/>
      <c r="B34" s="28">
        <v>1</v>
      </c>
      <c r="C34" s="351" t="s">
        <v>109</v>
      </c>
      <c r="D34" s="351"/>
      <c r="E34" s="171">
        <v>2465793.7200000002</v>
      </c>
      <c r="F34" s="29" t="s">
        <v>37</v>
      </c>
      <c r="G34" s="172">
        <f>679192.16+28877.31</f>
        <v>708069.47000000009</v>
      </c>
      <c r="H34" s="4"/>
      <c r="I34" s="3"/>
    </row>
    <row r="35" spans="1:9">
      <c r="A35" s="3"/>
      <c r="B35" s="28">
        <v>2</v>
      </c>
      <c r="C35" s="351" t="s">
        <v>133</v>
      </c>
      <c r="D35" s="351"/>
      <c r="E35" s="171">
        <v>31000</v>
      </c>
      <c r="F35" s="29" t="s">
        <v>38</v>
      </c>
      <c r="G35" s="172">
        <v>26063.360000000001</v>
      </c>
      <c r="H35" s="4"/>
      <c r="I35" s="3"/>
    </row>
    <row r="36" spans="1:9">
      <c r="A36" s="3"/>
      <c r="B36" s="124">
        <v>3</v>
      </c>
      <c r="C36" s="340" t="s">
        <v>59</v>
      </c>
      <c r="D36" s="340"/>
      <c r="E36" s="173">
        <v>2714397.7</v>
      </c>
      <c r="F36" s="125" t="s">
        <v>39</v>
      </c>
      <c r="G36" s="174">
        <v>0</v>
      </c>
      <c r="H36" s="4"/>
      <c r="I36" s="3"/>
    </row>
    <row r="37" spans="1:9">
      <c r="A37" s="3"/>
      <c r="B37" s="124">
        <v>4</v>
      </c>
      <c r="C37" s="340" t="s">
        <v>36</v>
      </c>
      <c r="D37" s="341"/>
      <c r="E37" s="173">
        <f>I19</f>
        <v>475736.41999999806</v>
      </c>
      <c r="F37" s="125" t="s">
        <v>58</v>
      </c>
      <c r="G37" s="174">
        <v>9600</v>
      </c>
      <c r="H37" s="4"/>
      <c r="I37" s="3"/>
    </row>
    <row r="38" spans="1:9">
      <c r="A38" s="3"/>
      <c r="B38" s="124">
        <v>5</v>
      </c>
      <c r="C38" s="340" t="s">
        <v>37</v>
      </c>
      <c r="D38" s="341"/>
      <c r="E38" s="173">
        <v>41213.699999999997</v>
      </c>
      <c r="F38" s="58" t="s">
        <v>107</v>
      </c>
      <c r="G38" s="175">
        <v>11026</v>
      </c>
      <c r="H38" s="4"/>
      <c r="I38" s="3"/>
    </row>
    <row r="39" spans="1:9">
      <c r="A39" s="3"/>
      <c r="B39" s="124">
        <v>6</v>
      </c>
      <c r="C39" s="342" t="s">
        <v>71</v>
      </c>
      <c r="D39" s="342"/>
      <c r="E39" s="173">
        <v>1884</v>
      </c>
      <c r="F39" s="176"/>
      <c r="G39" s="175"/>
      <c r="H39" s="4"/>
      <c r="I39" s="3"/>
    </row>
    <row r="40" spans="1:9">
      <c r="A40" s="3"/>
      <c r="B40" s="124">
        <v>7</v>
      </c>
      <c r="C40" s="340" t="s">
        <v>106</v>
      </c>
      <c r="D40" s="340"/>
      <c r="E40" s="173">
        <v>836</v>
      </c>
      <c r="F40" s="58" t="s">
        <v>108</v>
      </c>
      <c r="G40" s="175">
        <f>4356275.38+619827.33</f>
        <v>4976102.71</v>
      </c>
      <c r="H40" s="4"/>
      <c r="I40" s="3"/>
    </row>
    <row r="41" spans="1:9" ht="16.5" thickBot="1">
      <c r="A41" s="3"/>
      <c r="B41" s="343" t="s">
        <v>40</v>
      </c>
      <c r="C41" s="344"/>
      <c r="D41" s="345"/>
      <c r="E41" s="177">
        <f>SUM(E34:E40)</f>
        <v>5730861.5399999982</v>
      </c>
      <c r="F41" s="178"/>
      <c r="G41" s="179">
        <f>SUM(G34:G40)</f>
        <v>5730861.54</v>
      </c>
      <c r="H41" s="4"/>
      <c r="I41" s="3"/>
    </row>
    <row r="42" spans="1:9" ht="18.75">
      <c r="A42" s="33"/>
      <c r="B42" s="346" t="s">
        <v>76</v>
      </c>
      <c r="C42" s="346"/>
      <c r="D42" s="346"/>
      <c r="E42" s="346"/>
      <c r="F42" s="346"/>
      <c r="G42" s="126"/>
      <c r="H42" s="3"/>
      <c r="I42" s="3"/>
    </row>
    <row r="43" spans="1:9" ht="15.75">
      <c r="A43" s="33"/>
      <c r="B43" s="123" t="s">
        <v>73</v>
      </c>
      <c r="C43" s="112"/>
      <c r="D43" s="118"/>
      <c r="E43" s="112"/>
      <c r="F43" s="112"/>
      <c r="G43" s="126">
        <v>3067658.59</v>
      </c>
      <c r="H43" s="4"/>
      <c r="I43" s="3"/>
    </row>
    <row r="44" spans="1:9" ht="15.75">
      <c r="A44" s="33"/>
      <c r="B44" s="123" t="s">
        <v>134</v>
      </c>
      <c r="C44" s="112"/>
      <c r="D44" s="118"/>
      <c r="E44" s="112"/>
      <c r="F44" s="112"/>
      <c r="G44" s="126">
        <f>G40-G43</f>
        <v>1908444.12</v>
      </c>
      <c r="H44" s="4"/>
      <c r="I44" s="3"/>
    </row>
    <row r="45" spans="1:9" ht="15.75">
      <c r="A45" s="33"/>
      <c r="B45" s="34"/>
      <c r="C45" s="33"/>
      <c r="D45" s="31"/>
      <c r="E45" s="33"/>
      <c r="F45" s="33"/>
      <c r="G45" s="86"/>
      <c r="H45" s="4"/>
      <c r="I45" s="3"/>
    </row>
    <row r="46" spans="1:9" ht="18.75">
      <c r="A46" s="3"/>
      <c r="B46" s="328" t="s">
        <v>51</v>
      </c>
      <c r="C46" s="328"/>
      <c r="D46" s="328"/>
      <c r="E46" s="328"/>
      <c r="F46" s="3"/>
      <c r="G46" s="169"/>
      <c r="H46" s="4"/>
      <c r="I46" s="24"/>
    </row>
    <row r="47" spans="1:9" ht="47.25">
      <c r="A47" s="45"/>
      <c r="B47" s="49" t="s">
        <v>80</v>
      </c>
      <c r="C47" s="50" t="s">
        <v>50</v>
      </c>
      <c r="D47" s="51" t="s">
        <v>41</v>
      </c>
      <c r="E47" s="77" t="s">
        <v>67</v>
      </c>
      <c r="F47" s="79" t="s">
        <v>81</v>
      </c>
      <c r="G47" s="45"/>
      <c r="H47" s="45"/>
      <c r="I47" s="24"/>
    </row>
    <row r="48" spans="1:9" ht="15.75">
      <c r="A48" s="3"/>
      <c r="B48" s="52">
        <v>940072.08</v>
      </c>
      <c r="C48" s="53">
        <v>57431.35</v>
      </c>
      <c r="D48" s="156">
        <v>1716894.27</v>
      </c>
      <c r="E48" s="78">
        <v>0</v>
      </c>
      <c r="F48" s="80">
        <f>B48+C48+D48</f>
        <v>2714397.7</v>
      </c>
      <c r="G48" s="3"/>
      <c r="H48" s="4"/>
      <c r="I48" s="20"/>
    </row>
    <row r="49" spans="1:9" ht="15.75">
      <c r="A49" s="3"/>
      <c r="B49" s="46"/>
      <c r="C49" s="46"/>
      <c r="D49" s="47"/>
      <c r="E49" s="48"/>
      <c r="F49" s="16"/>
      <c r="G49" s="180"/>
      <c r="H49" s="4"/>
      <c r="I49" s="20"/>
    </row>
    <row r="50" spans="1:9" ht="19.5" thickBot="1">
      <c r="A50" s="3"/>
      <c r="B50" s="328" t="s">
        <v>54</v>
      </c>
      <c r="C50" s="328"/>
      <c r="D50" s="328"/>
      <c r="E50" s="328"/>
      <c r="F50" s="328"/>
      <c r="G50" s="180"/>
      <c r="H50" s="4"/>
    </row>
    <row r="51" spans="1:9" ht="39" thickBot="1">
      <c r="A51" s="45"/>
      <c r="B51" s="82" t="s">
        <v>52</v>
      </c>
      <c r="C51" s="83" t="s">
        <v>60</v>
      </c>
      <c r="D51" s="84" t="s">
        <v>61</v>
      </c>
      <c r="E51" s="87" t="s">
        <v>53</v>
      </c>
      <c r="F51" s="88" t="s">
        <v>69</v>
      </c>
      <c r="G51" s="181" t="s">
        <v>68</v>
      </c>
      <c r="H51" s="45"/>
    </row>
    <row r="52" spans="1:9" ht="15.75">
      <c r="A52" s="3"/>
      <c r="B52" s="89">
        <v>2014</v>
      </c>
      <c r="C52" s="90">
        <v>534076.06999999995</v>
      </c>
      <c r="D52" s="91">
        <v>361645.16</v>
      </c>
      <c r="E52" s="182">
        <f>C52-D52</f>
        <v>172430.90999999997</v>
      </c>
      <c r="F52" s="92">
        <f>304920-1450</f>
        <v>303470</v>
      </c>
      <c r="G52" s="183">
        <f>F52-D52</f>
        <v>-58175.159999999974</v>
      </c>
      <c r="H52" s="4"/>
    </row>
    <row r="53" spans="1:9" ht="15.75">
      <c r="A53" s="3"/>
      <c r="B53" s="85">
        <v>2015</v>
      </c>
      <c r="C53" s="52">
        <f>291637.76+1398056.94+0.4</f>
        <v>1689695.0999999999</v>
      </c>
      <c r="D53" s="27">
        <f>1296806.21+291638.16</f>
        <v>1588444.3699999999</v>
      </c>
      <c r="E53" s="184">
        <f>C53-D53</f>
        <v>101250.72999999998</v>
      </c>
      <c r="F53" s="93">
        <f>1587625.76-3800.28</f>
        <v>1583825.48</v>
      </c>
      <c r="G53" s="183">
        <f>F53-D53</f>
        <v>-4618.8899999998976</v>
      </c>
      <c r="H53" s="4"/>
    </row>
    <row r="54" spans="1:9" ht="15.75">
      <c r="A54" s="3"/>
      <c r="B54" s="85">
        <v>2016</v>
      </c>
      <c r="C54" s="52">
        <v>1619300.63</v>
      </c>
      <c r="D54" s="138">
        <v>1622822.69</v>
      </c>
      <c r="E54" s="184">
        <f>C54-D54</f>
        <v>-3522.0600000000559</v>
      </c>
      <c r="F54" s="93">
        <v>1591243.34</v>
      </c>
      <c r="G54" s="183">
        <f>F54-D54</f>
        <v>-31579.34999999986</v>
      </c>
      <c r="H54" s="4"/>
    </row>
    <row r="55" spans="1:9" ht="16.5" thickBot="1">
      <c r="A55" s="3"/>
      <c r="B55" s="134">
        <v>2017</v>
      </c>
      <c r="C55" s="135">
        <v>1705622.18</v>
      </c>
      <c r="D55" s="136">
        <v>1722084.2</v>
      </c>
      <c r="E55" s="185">
        <f>C55-D55</f>
        <v>-16462.020000000019</v>
      </c>
      <c r="F55" s="137">
        <v>1716894.27</v>
      </c>
      <c r="G55" s="183">
        <f>F55-D55</f>
        <v>-5189.9299999999348</v>
      </c>
      <c r="H55" s="4"/>
    </row>
    <row r="56" spans="1:9" ht="15.75" thickBot="1">
      <c r="B56" s="81" t="s">
        <v>22</v>
      </c>
      <c r="C56" s="186">
        <f>SUM(C52:C55)</f>
        <v>5548693.9799999995</v>
      </c>
      <c r="D56" s="186">
        <f>SUM(D52:D55)</f>
        <v>5294996.42</v>
      </c>
      <c r="E56" s="186">
        <f>SUM(E52:E55)</f>
        <v>253697.55999999988</v>
      </c>
      <c r="F56" s="186">
        <f>SUM(F52:F55)</f>
        <v>5195433.09</v>
      </c>
      <c r="G56" s="186">
        <f>SUM(G52:G55)</f>
        <v>-99563.329999999667</v>
      </c>
      <c r="I56" s="65"/>
    </row>
    <row r="57" spans="1:9" ht="15.75">
      <c r="B57" s="2"/>
      <c r="G57" s="187"/>
      <c r="I57" s="65"/>
    </row>
    <row r="58" spans="1:9" ht="18.75" thickBot="1">
      <c r="A58" s="3"/>
      <c r="B58" s="329" t="s">
        <v>65</v>
      </c>
      <c r="C58" s="329"/>
      <c r="D58" s="329"/>
      <c r="E58" s="329"/>
      <c r="F58" s="329"/>
      <c r="G58" s="329"/>
      <c r="H58" s="188"/>
      <c r="I58" s="60"/>
    </row>
    <row r="59" spans="1:9" ht="45.75" thickBot="1">
      <c r="B59" s="94" t="s">
        <v>7</v>
      </c>
      <c r="C59" s="101"/>
      <c r="D59" s="101"/>
      <c r="E59" s="189" t="s">
        <v>135</v>
      </c>
      <c r="F59" s="190" t="s">
        <v>70</v>
      </c>
      <c r="G59" s="103" t="s">
        <v>66</v>
      </c>
      <c r="H59" s="191" t="s">
        <v>136</v>
      </c>
      <c r="I59" s="102"/>
    </row>
    <row r="60" spans="1:9">
      <c r="B60" s="330" t="s">
        <v>137</v>
      </c>
      <c r="C60" s="331"/>
      <c r="D60" s="332"/>
      <c r="E60" s="192">
        <v>864.98</v>
      </c>
      <c r="F60" s="192">
        <v>826704.22</v>
      </c>
      <c r="G60" s="192">
        <v>852089.72</v>
      </c>
      <c r="H60" s="193">
        <f>E60+F60-G60</f>
        <v>-24520.520000000019</v>
      </c>
      <c r="I60" s="104"/>
    </row>
    <row r="61" spans="1:9">
      <c r="B61" s="296" t="s">
        <v>138</v>
      </c>
      <c r="C61" s="297"/>
      <c r="D61" s="333"/>
      <c r="E61" s="194">
        <v>51464.55</v>
      </c>
      <c r="F61" s="195">
        <v>2114209.62</v>
      </c>
      <c r="G61" s="195">
        <v>2436494.31</v>
      </c>
      <c r="H61" s="196">
        <f>E61+F61-G61</f>
        <v>-270820.14000000013</v>
      </c>
      <c r="I61" s="95"/>
    </row>
    <row r="62" spans="1:9">
      <c r="B62" s="334" t="s">
        <v>139</v>
      </c>
      <c r="C62" s="335"/>
      <c r="D62" s="336"/>
      <c r="E62" s="195">
        <v>0</v>
      </c>
      <c r="F62" s="195">
        <v>220099.44</v>
      </c>
      <c r="G62" s="195">
        <v>208605.96</v>
      </c>
      <c r="H62" s="197">
        <f>E62+F62-G62</f>
        <v>11493.48000000001</v>
      </c>
      <c r="I62" s="95"/>
    </row>
    <row r="63" spans="1:9" ht="15.75" thickBot="1">
      <c r="B63" s="337" t="s">
        <v>140</v>
      </c>
      <c r="C63" s="338"/>
      <c r="D63" s="339"/>
      <c r="E63" s="198">
        <v>-4.05</v>
      </c>
      <c r="F63" s="199">
        <v>529284</v>
      </c>
      <c r="G63" s="199">
        <v>529290.12</v>
      </c>
      <c r="H63" s="200">
        <f>E63+F63-G63</f>
        <v>-10.17000000004191</v>
      </c>
      <c r="I63" s="95"/>
    </row>
    <row r="64" spans="1:9" ht="15.75" thickBot="1">
      <c r="B64" s="314" t="s">
        <v>141</v>
      </c>
      <c r="C64" s="315"/>
      <c r="D64" s="316"/>
      <c r="E64" s="107">
        <f>SUM(E60:E63)</f>
        <v>52325.48</v>
      </c>
      <c r="F64" s="107">
        <f>SUM(F60:F63)</f>
        <v>3690297.28</v>
      </c>
      <c r="G64" s="108">
        <f>SUM(G60:G63)</f>
        <v>4026480.1100000003</v>
      </c>
      <c r="H64" s="106">
        <f>SUM(H60:H63)</f>
        <v>-283857.35000000021</v>
      </c>
      <c r="I64" s="111"/>
    </row>
    <row r="65" spans="1:9">
      <c r="A65" s="3"/>
      <c r="B65" s="102"/>
      <c r="C65" s="102"/>
      <c r="D65" s="102"/>
      <c r="E65" s="102"/>
      <c r="F65" s="102"/>
      <c r="G65" s="109"/>
      <c r="H65" s="110"/>
      <c r="I65" s="111"/>
    </row>
    <row r="66" spans="1:9" ht="18.75" thickBot="1">
      <c r="B66" s="317" t="s">
        <v>72</v>
      </c>
      <c r="C66" s="317"/>
      <c r="D66" s="317"/>
      <c r="E66" s="317"/>
      <c r="F66" s="317"/>
      <c r="G66" s="317"/>
      <c r="H66" s="95"/>
      <c r="I66" s="8"/>
    </row>
    <row r="67" spans="1:9" ht="58.5" thickBot="1">
      <c r="A67" s="14">
        <v>1</v>
      </c>
      <c r="B67" s="201" t="s">
        <v>8</v>
      </c>
      <c r="C67" s="98"/>
      <c r="D67" s="98"/>
      <c r="E67" s="98"/>
      <c r="F67" s="139" t="s">
        <v>85</v>
      </c>
      <c r="G67" s="139" t="s">
        <v>82</v>
      </c>
      <c r="H67" s="104"/>
      <c r="I67" s="9"/>
    </row>
    <row r="68" spans="1:9">
      <c r="A68" s="14">
        <v>2</v>
      </c>
      <c r="B68" s="318" t="s">
        <v>10</v>
      </c>
      <c r="C68" s="319"/>
      <c r="D68" s="319"/>
      <c r="E68" s="320"/>
      <c r="F68" s="321">
        <f>116396*12</f>
        <v>1396752</v>
      </c>
      <c r="G68" s="323">
        <f>1301079.42+52200+6000</f>
        <v>1359279.42</v>
      </c>
      <c r="H68" s="202"/>
      <c r="I68" s="8"/>
    </row>
    <row r="69" spans="1:9">
      <c r="A69" s="14">
        <v>3</v>
      </c>
      <c r="B69" s="325" t="s">
        <v>11</v>
      </c>
      <c r="C69" s="326"/>
      <c r="D69" s="326"/>
      <c r="E69" s="327"/>
      <c r="F69" s="322"/>
      <c r="G69" s="324"/>
      <c r="H69" s="202"/>
      <c r="I69" s="10"/>
    </row>
    <row r="70" spans="1:9">
      <c r="A70" s="14">
        <v>4</v>
      </c>
      <c r="B70" s="308" t="s">
        <v>90</v>
      </c>
      <c r="C70" s="309"/>
      <c r="D70" s="309"/>
      <c r="E70" s="310"/>
      <c r="F70" s="203">
        <f>(121555+6000)*12</f>
        <v>1530660</v>
      </c>
      <c r="G70" s="204">
        <f>(121555+6000)*12</f>
        <v>1530660</v>
      </c>
      <c r="H70" s="202"/>
      <c r="I70" s="8"/>
    </row>
    <row r="71" spans="1:9">
      <c r="A71" s="14">
        <v>5</v>
      </c>
      <c r="B71" s="308" t="s">
        <v>86</v>
      </c>
      <c r="C71" s="309"/>
      <c r="D71" s="309"/>
      <c r="E71" s="310"/>
      <c r="F71" s="203">
        <f>9841*12</f>
        <v>118092</v>
      </c>
      <c r="G71" s="204">
        <f>9841*12</f>
        <v>118092</v>
      </c>
      <c r="H71" s="202"/>
      <c r="I71" s="8"/>
    </row>
    <row r="72" spans="1:9">
      <c r="A72" s="14">
        <v>6</v>
      </c>
      <c r="B72" s="308" t="s">
        <v>12</v>
      </c>
      <c r="C72" s="309"/>
      <c r="D72" s="309"/>
      <c r="E72" s="310"/>
      <c r="F72" s="203">
        <f>(61000+54000)*12</f>
        <v>1380000</v>
      </c>
      <c r="G72" s="204">
        <f>(61000+54000)*12+900</f>
        <v>1380900</v>
      </c>
      <c r="H72" s="202"/>
      <c r="I72" s="8"/>
    </row>
    <row r="73" spans="1:9">
      <c r="A73" s="143"/>
      <c r="B73" s="308" t="s">
        <v>55</v>
      </c>
      <c r="C73" s="309"/>
      <c r="D73" s="309"/>
      <c r="E73" s="310"/>
      <c r="F73" s="203">
        <f>10260*12</f>
        <v>123120</v>
      </c>
      <c r="G73" s="204">
        <f>10260*12</f>
        <v>123120</v>
      </c>
      <c r="H73" s="202"/>
      <c r="I73" s="205"/>
    </row>
    <row r="74" spans="1:9">
      <c r="A74" s="14">
        <v>9</v>
      </c>
      <c r="B74" s="308" t="s">
        <v>13</v>
      </c>
      <c r="C74" s="309"/>
      <c r="D74" s="309"/>
      <c r="E74" s="310"/>
      <c r="F74" s="203">
        <f>1500*3+1900*9</f>
        <v>21600</v>
      </c>
      <c r="G74" s="204">
        <v>20234</v>
      </c>
      <c r="H74" s="202"/>
      <c r="I74" s="8"/>
    </row>
    <row r="75" spans="1:9">
      <c r="A75" s="18">
        <v>10</v>
      </c>
      <c r="B75" s="308" t="s">
        <v>14</v>
      </c>
      <c r="C75" s="309"/>
      <c r="D75" s="309"/>
      <c r="E75" s="310"/>
      <c r="F75" s="203">
        <f>2900*3+2769*9</f>
        <v>33621</v>
      </c>
      <c r="G75" s="206">
        <f>35954.46-1.68</f>
        <v>35952.78</v>
      </c>
      <c r="H75" s="202"/>
      <c r="I75" s="8"/>
    </row>
    <row r="76" spans="1:9">
      <c r="A76" s="14">
        <v>11</v>
      </c>
      <c r="B76" s="308" t="s">
        <v>15</v>
      </c>
      <c r="C76" s="309"/>
      <c r="D76" s="309"/>
      <c r="E76" s="310"/>
      <c r="F76" s="203">
        <f>11900*3+11700*9</f>
        <v>141000</v>
      </c>
      <c r="G76" s="207">
        <v>140900</v>
      </c>
      <c r="H76" s="202"/>
    </row>
    <row r="77" spans="1:9">
      <c r="A77" s="14">
        <v>12</v>
      </c>
      <c r="B77" s="308" t="s">
        <v>16</v>
      </c>
      <c r="C77" s="309"/>
      <c r="D77" s="309"/>
      <c r="E77" s="310"/>
      <c r="F77" s="203">
        <f>15000*3+13000*9</f>
        <v>162000</v>
      </c>
      <c r="G77" s="204">
        <f>216000-54000</f>
        <v>162000</v>
      </c>
      <c r="H77" s="202"/>
    </row>
    <row r="78" spans="1:9">
      <c r="A78" s="14">
        <v>13</v>
      </c>
      <c r="B78" s="308" t="s">
        <v>17</v>
      </c>
      <c r="C78" s="309"/>
      <c r="D78" s="309"/>
      <c r="E78" s="310"/>
      <c r="F78" s="203">
        <f>28500*12</f>
        <v>342000</v>
      </c>
      <c r="G78" s="204">
        <v>342000</v>
      </c>
      <c r="H78" s="202"/>
    </row>
    <row r="79" spans="1:9">
      <c r="A79" s="14">
        <v>15</v>
      </c>
      <c r="B79" s="308" t="s">
        <v>18</v>
      </c>
      <c r="C79" s="309"/>
      <c r="D79" s="309"/>
      <c r="E79" s="310"/>
      <c r="F79" s="203">
        <f>3000*3+2450*9</f>
        <v>31050</v>
      </c>
      <c r="G79" s="204">
        <v>39192</v>
      </c>
      <c r="H79" s="202"/>
      <c r="I79" s="158"/>
    </row>
    <row r="80" spans="1:9">
      <c r="A80" s="14">
        <v>16</v>
      </c>
      <c r="B80" s="308" t="s">
        <v>19</v>
      </c>
      <c r="C80" s="309"/>
      <c r="D80" s="309"/>
      <c r="E80" s="310"/>
      <c r="F80" s="203">
        <f>724*12</f>
        <v>8688</v>
      </c>
      <c r="G80" s="204">
        <v>0</v>
      </c>
      <c r="H80" s="202"/>
      <c r="I80" s="158"/>
    </row>
    <row r="81" spans="1:9" ht="15.75" thickBot="1">
      <c r="A81" s="14"/>
      <c r="B81" s="311" t="s">
        <v>142</v>
      </c>
      <c r="C81" s="312" t="s">
        <v>20</v>
      </c>
      <c r="D81" s="312" t="s">
        <v>21</v>
      </c>
      <c r="E81" s="313"/>
      <c r="F81" s="208">
        <f>2300*3+2384*9</f>
        <v>28356</v>
      </c>
      <c r="G81" s="207">
        <f>22560+3000</f>
        <v>25560</v>
      </c>
      <c r="H81" s="202"/>
      <c r="I81" s="158"/>
    </row>
    <row r="82" spans="1:9" ht="15.75" thickBot="1">
      <c r="A82" s="11"/>
      <c r="B82" s="305" t="s">
        <v>143</v>
      </c>
      <c r="C82" s="306" t="s">
        <v>20</v>
      </c>
      <c r="D82" s="306" t="s">
        <v>21</v>
      </c>
      <c r="E82" s="307"/>
      <c r="F82" s="209"/>
      <c r="G82" s="210"/>
      <c r="H82" s="202"/>
      <c r="I82" s="211"/>
    </row>
    <row r="83" spans="1:9" ht="16.5" thickBot="1">
      <c r="A83" s="11"/>
      <c r="B83" s="212" t="s">
        <v>22</v>
      </c>
      <c r="C83" s="213"/>
      <c r="D83" s="213"/>
      <c r="E83" s="213"/>
      <c r="F83" s="113">
        <f>SUM(F68:F81)</f>
        <v>5316939</v>
      </c>
      <c r="G83" s="114">
        <f>SUM(G68:G82)</f>
        <v>5277890.2</v>
      </c>
      <c r="H83" s="142"/>
      <c r="I83" s="211"/>
    </row>
    <row r="84" spans="1:9" ht="15.75">
      <c r="A84" s="11"/>
      <c r="B84" s="140"/>
      <c r="C84" s="140"/>
      <c r="D84" s="140"/>
      <c r="E84" s="140"/>
      <c r="F84" s="141"/>
      <c r="G84" s="141"/>
      <c r="H84" s="96"/>
      <c r="I84" s="13"/>
    </row>
    <row r="85" spans="1:9" ht="15.75" thickBot="1">
      <c r="A85" s="149">
        <v>17</v>
      </c>
      <c r="B85" s="102"/>
      <c r="C85" s="102"/>
      <c r="D85" s="102"/>
      <c r="E85" s="102"/>
      <c r="F85" s="214"/>
      <c r="G85" s="215"/>
      <c r="H85" s="96"/>
      <c r="I85" s="158"/>
    </row>
    <row r="86" spans="1:9" ht="26.25">
      <c r="A86" s="149"/>
      <c r="B86" s="216" t="s">
        <v>23</v>
      </c>
      <c r="C86" s="217"/>
      <c r="D86" s="217"/>
      <c r="E86" s="218" t="s">
        <v>99</v>
      </c>
      <c r="F86" s="219">
        <f>10500*12</f>
        <v>126000</v>
      </c>
      <c r="G86" s="220" t="s">
        <v>9</v>
      </c>
      <c r="H86" s="96"/>
      <c r="I86" s="158"/>
    </row>
    <row r="87" spans="1:9">
      <c r="A87" s="149"/>
      <c r="B87" s="296" t="s">
        <v>93</v>
      </c>
      <c r="C87" s="297"/>
      <c r="D87" s="297"/>
      <c r="E87" s="297"/>
      <c r="F87" s="298"/>
      <c r="G87" s="221">
        <v>58.84</v>
      </c>
      <c r="H87" s="144"/>
      <c r="I87" s="96"/>
    </row>
    <row r="88" spans="1:9">
      <c r="A88" s="149"/>
      <c r="B88" s="296" t="s">
        <v>91</v>
      </c>
      <c r="C88" s="297"/>
      <c r="D88" s="297"/>
      <c r="E88" s="297"/>
      <c r="F88" s="298"/>
      <c r="G88" s="222">
        <v>1200</v>
      </c>
      <c r="H88" s="144"/>
      <c r="I88" s="96"/>
    </row>
    <row r="89" spans="1:9">
      <c r="A89" s="7"/>
      <c r="B89" s="296" t="s">
        <v>144</v>
      </c>
      <c r="C89" s="297"/>
      <c r="D89" s="297"/>
      <c r="E89" s="297"/>
      <c r="F89" s="298"/>
      <c r="G89" s="222">
        <f>67492.27+48000-24790</f>
        <v>90702.27</v>
      </c>
      <c r="H89" s="144"/>
      <c r="I89" s="104"/>
    </row>
    <row r="90" spans="1:9">
      <c r="A90" s="7"/>
      <c r="B90" s="296" t="s">
        <v>92</v>
      </c>
      <c r="C90" s="297"/>
      <c r="D90" s="297"/>
      <c r="E90" s="297"/>
      <c r="F90" s="298"/>
      <c r="G90" s="222">
        <v>39632</v>
      </c>
      <c r="H90" s="144"/>
      <c r="I90" s="104"/>
    </row>
    <row r="91" spans="1:9">
      <c r="A91" s="7"/>
      <c r="B91" s="296" t="s">
        <v>145</v>
      </c>
      <c r="C91" s="297"/>
      <c r="D91" s="297"/>
      <c r="E91" s="297"/>
      <c r="F91" s="298"/>
      <c r="G91" s="222">
        <v>15280</v>
      </c>
      <c r="H91" s="144"/>
      <c r="I91" s="104"/>
    </row>
    <row r="92" spans="1:9">
      <c r="A92" s="149"/>
      <c r="B92" s="296" t="s">
        <v>146</v>
      </c>
      <c r="C92" s="297"/>
      <c r="D92" s="297"/>
      <c r="E92" s="297"/>
      <c r="F92" s="298"/>
      <c r="G92" s="222">
        <v>6500</v>
      </c>
      <c r="H92" s="148"/>
      <c r="I92" s="95"/>
    </row>
    <row r="93" spans="1:9">
      <c r="A93" s="149"/>
      <c r="B93" s="296" t="s">
        <v>101</v>
      </c>
      <c r="C93" s="297"/>
      <c r="D93" s="297"/>
      <c r="E93" s="297"/>
      <c r="F93" s="298"/>
      <c r="G93" s="222">
        <v>3989.29</v>
      </c>
      <c r="H93" s="144"/>
      <c r="I93" s="95"/>
    </row>
    <row r="94" spans="1:9">
      <c r="A94" s="149"/>
      <c r="B94" s="296" t="s">
        <v>100</v>
      </c>
      <c r="C94" s="297"/>
      <c r="D94" s="297"/>
      <c r="E94" s="297"/>
      <c r="F94" s="298"/>
      <c r="G94" s="222">
        <v>2000</v>
      </c>
      <c r="H94" s="144"/>
      <c r="I94" s="223"/>
    </row>
    <row r="95" spans="1:9" ht="15.75" thickBot="1">
      <c r="A95" s="149"/>
      <c r="B95" s="299" t="s">
        <v>147</v>
      </c>
      <c r="C95" s="300"/>
      <c r="D95" s="300"/>
      <c r="E95" s="300"/>
      <c r="F95" s="300"/>
      <c r="G95" s="224">
        <f>SUM(G87:G94)</f>
        <v>159362.4</v>
      </c>
      <c r="H95" s="144"/>
      <c r="I95" s="110"/>
    </row>
    <row r="96" spans="1:9" ht="15.75" thickBot="1">
      <c r="A96" s="149"/>
      <c r="B96" s="301" t="s">
        <v>148</v>
      </c>
      <c r="C96" s="302"/>
      <c r="D96" s="302"/>
      <c r="E96" s="302"/>
      <c r="F96" s="302"/>
      <c r="G96" s="225">
        <v>-27551.89</v>
      </c>
      <c r="H96" s="110"/>
      <c r="I96" s="110"/>
    </row>
    <row r="97" spans="1:9" ht="16.5" thickBot="1">
      <c r="A97" s="226">
        <v>17</v>
      </c>
      <c r="B97" s="227" t="s">
        <v>149</v>
      </c>
      <c r="C97" s="228"/>
      <c r="D97" s="228"/>
      <c r="E97" s="228"/>
      <c r="F97" s="228"/>
      <c r="G97" s="229">
        <f>G95+G96</f>
        <v>131810.51</v>
      </c>
      <c r="H97" s="110"/>
      <c r="I97" s="121"/>
    </row>
    <row r="98" spans="1:9" ht="15.75" thickBot="1">
      <c r="A98" s="226"/>
      <c r="B98" s="117"/>
      <c r="C98" s="118"/>
      <c r="D98" s="118"/>
      <c r="E98" s="102"/>
      <c r="F98" s="214"/>
      <c r="G98" s="119"/>
      <c r="H98" s="230"/>
      <c r="I98" s="121"/>
    </row>
    <row r="99" spans="1:9" ht="16.5" thickBot="1">
      <c r="A99" s="226"/>
      <c r="B99" s="97" t="s">
        <v>24</v>
      </c>
      <c r="C99" s="98"/>
      <c r="D99" s="99"/>
      <c r="E99" s="100"/>
      <c r="F99" s="120">
        <f>(20*101*12)+(2*18994.57*3)+(2.9*18994.57*9)+(2*2881.8*9)</f>
        <v>685838.09699999995</v>
      </c>
      <c r="G99" s="145" t="s">
        <v>9</v>
      </c>
      <c r="H99" s="230"/>
      <c r="I99" s="121"/>
    </row>
    <row r="100" spans="1:9">
      <c r="A100" s="226"/>
      <c r="B100" s="303" t="s">
        <v>104</v>
      </c>
      <c r="C100" s="304"/>
      <c r="D100" s="304"/>
      <c r="E100" s="304"/>
      <c r="F100" s="304"/>
      <c r="G100" s="231">
        <v>19085</v>
      </c>
      <c r="H100" s="230"/>
      <c r="I100" s="121"/>
    </row>
    <row r="101" spans="1:9">
      <c r="A101" s="149">
        <v>8</v>
      </c>
      <c r="B101" s="291" t="s">
        <v>94</v>
      </c>
      <c r="C101" s="292"/>
      <c r="D101" s="292"/>
      <c r="E101" s="292"/>
      <c r="F101" s="292"/>
      <c r="G101" s="222">
        <v>16378</v>
      </c>
      <c r="H101" s="230"/>
      <c r="I101" s="95"/>
    </row>
    <row r="102" spans="1:9">
      <c r="A102" s="226"/>
      <c r="B102" s="291" t="s">
        <v>150</v>
      </c>
      <c r="C102" s="292"/>
      <c r="D102" s="292"/>
      <c r="E102" s="292"/>
      <c r="F102" s="292"/>
      <c r="G102" s="222">
        <v>22000</v>
      </c>
      <c r="H102" s="148"/>
      <c r="I102" s="121"/>
    </row>
    <row r="103" spans="1:9">
      <c r="A103" s="226"/>
      <c r="B103" s="291" t="s">
        <v>151</v>
      </c>
      <c r="C103" s="292"/>
      <c r="D103" s="292"/>
      <c r="E103" s="292"/>
      <c r="F103" s="292"/>
      <c r="G103" s="222">
        <v>24790</v>
      </c>
      <c r="H103" s="230"/>
      <c r="I103" s="121"/>
    </row>
    <row r="104" spans="1:9">
      <c r="A104" s="232"/>
      <c r="B104" s="291" t="s">
        <v>95</v>
      </c>
      <c r="C104" s="292"/>
      <c r="D104" s="292"/>
      <c r="E104" s="292"/>
      <c r="F104" s="292"/>
      <c r="G104" s="222">
        <v>447658.36</v>
      </c>
      <c r="H104" s="230"/>
      <c r="I104" s="223"/>
    </row>
    <row r="105" spans="1:9">
      <c r="A105" s="232"/>
      <c r="B105" s="291" t="s">
        <v>152</v>
      </c>
      <c r="C105" s="292"/>
      <c r="D105" s="292"/>
      <c r="E105" s="292"/>
      <c r="F105" s="292"/>
      <c r="G105" s="222">
        <v>81358.509999999995</v>
      </c>
      <c r="H105" s="96"/>
      <c r="I105" s="102"/>
    </row>
    <row r="106" spans="1:9">
      <c r="A106" s="158"/>
      <c r="B106" s="291" t="s">
        <v>153</v>
      </c>
      <c r="C106" s="292"/>
      <c r="D106" s="292"/>
      <c r="E106" s="292"/>
      <c r="F106" s="292"/>
      <c r="G106" s="222">
        <v>21083</v>
      </c>
      <c r="H106" s="96"/>
      <c r="I106" s="233"/>
    </row>
    <row r="107" spans="1:9">
      <c r="B107" s="291" t="s">
        <v>96</v>
      </c>
      <c r="C107" s="292"/>
      <c r="D107" s="292"/>
      <c r="E107" s="292"/>
      <c r="F107" s="292"/>
      <c r="G107" s="222">
        <v>27080</v>
      </c>
      <c r="H107" s="96"/>
      <c r="I107" s="110"/>
    </row>
    <row r="108" spans="1:9" ht="15.75" customHeight="1">
      <c r="A108" s="7"/>
      <c r="B108" s="291" t="s">
        <v>97</v>
      </c>
      <c r="C108" s="292"/>
      <c r="D108" s="292"/>
      <c r="E108" s="292"/>
      <c r="F108" s="292"/>
      <c r="G108" s="222">
        <v>15000</v>
      </c>
      <c r="H108" s="234"/>
      <c r="I108" s="104"/>
    </row>
    <row r="109" spans="1:9" ht="15.75" thickBot="1">
      <c r="A109" s="7"/>
      <c r="B109" s="293" t="s">
        <v>98</v>
      </c>
      <c r="C109" s="294"/>
      <c r="D109" s="294"/>
      <c r="E109" s="294"/>
      <c r="F109" s="294"/>
      <c r="G109" s="235">
        <v>15240</v>
      </c>
      <c r="H109" s="96"/>
      <c r="I109" s="104"/>
    </row>
    <row r="110" spans="1:9" ht="15.75" thickBot="1">
      <c r="A110" s="3"/>
      <c r="B110" s="236"/>
      <c r="C110" s="237"/>
      <c r="D110" s="237"/>
      <c r="E110" s="237"/>
      <c r="F110" s="237"/>
      <c r="G110" s="238"/>
      <c r="H110" s="96"/>
      <c r="I110" s="110"/>
    </row>
    <row r="111" spans="1:9" ht="21.75" thickBot="1">
      <c r="A111" s="3"/>
      <c r="B111" s="122" t="s">
        <v>22</v>
      </c>
      <c r="C111" s="105"/>
      <c r="D111" s="115"/>
      <c r="E111" s="105"/>
      <c r="F111" s="239">
        <f>F99</f>
        <v>685838.09699999995</v>
      </c>
      <c r="G111" s="116">
        <f>SUM(G100:G109)</f>
        <v>689672.87</v>
      </c>
      <c r="H111" s="234"/>
      <c r="I111" s="104"/>
    </row>
    <row r="112" spans="1:9" ht="18.75">
      <c r="A112" s="3"/>
      <c r="B112" s="123"/>
      <c r="C112" s="102"/>
      <c r="D112" s="118"/>
      <c r="E112" s="102"/>
      <c r="F112" s="240"/>
      <c r="G112" s="241"/>
      <c r="H112" s="230"/>
      <c r="I112" s="104"/>
    </row>
    <row r="113" spans="1:9" ht="18.75">
      <c r="A113" s="3"/>
      <c r="B113" s="123"/>
      <c r="C113" s="102"/>
      <c r="D113" s="118"/>
      <c r="E113" s="102"/>
      <c r="F113" s="242" t="s">
        <v>154</v>
      </c>
      <c r="G113" s="243" t="s">
        <v>155</v>
      </c>
      <c r="H113" s="230"/>
      <c r="I113" s="233"/>
    </row>
    <row r="114" spans="1:9" ht="20.25">
      <c r="A114" s="3"/>
      <c r="B114" s="3"/>
      <c r="C114" s="295" t="s">
        <v>156</v>
      </c>
      <c r="D114" s="295"/>
      <c r="E114" s="295"/>
      <c r="F114" s="244">
        <f>6192963.68-(16582*3)-(2*2881.8*3)</f>
        <v>6125926.8799999999</v>
      </c>
      <c r="G114" s="244">
        <f>G83+G97+G111</f>
        <v>6099373.5800000001</v>
      </c>
      <c r="H114" s="230"/>
      <c r="I114" s="233"/>
    </row>
    <row r="115" spans="1:9" ht="20.25">
      <c r="A115" s="3"/>
      <c r="B115" s="3"/>
      <c r="C115" s="295" t="s">
        <v>157</v>
      </c>
      <c r="D115" s="295"/>
      <c r="E115" s="295"/>
      <c r="F115" s="245">
        <f>(16582*3)+(2*2881.8*3)+20791.38</f>
        <v>87828.180000000008</v>
      </c>
      <c r="G115" s="58"/>
      <c r="H115" s="230"/>
      <c r="I115" s="233"/>
    </row>
    <row r="116" spans="1:9" ht="20.25">
      <c r="A116" s="3"/>
      <c r="B116" s="3"/>
      <c r="C116" s="295" t="s">
        <v>74</v>
      </c>
      <c r="D116" s="295"/>
      <c r="E116" s="295"/>
      <c r="F116" s="245">
        <v>109560.42</v>
      </c>
      <c r="G116" s="246"/>
      <c r="H116" s="230"/>
      <c r="I116" s="104"/>
    </row>
    <row r="117" spans="1:9" ht="20.25">
      <c r="A117" s="3"/>
      <c r="B117" s="154"/>
      <c r="C117" s="290" t="s">
        <v>158</v>
      </c>
      <c r="D117" s="290"/>
      <c r="E117" s="290"/>
      <c r="F117" s="245">
        <f>G64-F64</f>
        <v>336182.83000000054</v>
      </c>
      <c r="G117" s="246"/>
      <c r="H117" s="230"/>
      <c r="I117" s="104"/>
    </row>
    <row r="118" spans="1:9" ht="20.25">
      <c r="A118" s="3"/>
      <c r="B118" s="154"/>
      <c r="C118" s="290" t="s">
        <v>35</v>
      </c>
      <c r="D118" s="290"/>
      <c r="E118" s="290"/>
      <c r="F118" s="244">
        <f>F117+F116+F115+F114</f>
        <v>6659498.3100000005</v>
      </c>
      <c r="G118" s="244">
        <f>G114</f>
        <v>6099373.5800000001</v>
      </c>
      <c r="H118" s="230"/>
      <c r="I118" s="3"/>
    </row>
    <row r="119" spans="1:9" ht="21" thickBot="1">
      <c r="B119" s="21"/>
      <c r="C119" s="21"/>
      <c r="D119" s="21"/>
      <c r="E119" s="21"/>
      <c r="F119" s="59"/>
      <c r="G119" s="247"/>
      <c r="H119" s="4"/>
      <c r="I119" s="248"/>
    </row>
    <row r="120" spans="1:9" ht="18.75" thickBot="1">
      <c r="A120" s="3"/>
      <c r="B120" s="5" t="s">
        <v>56</v>
      </c>
      <c r="C120" s="74"/>
      <c r="D120" s="75"/>
      <c r="E120" s="76"/>
      <c r="F120" s="66">
        <v>1006192.44</v>
      </c>
      <c r="G120" s="66">
        <f>SUM(G121:G134)</f>
        <v>991042.3</v>
      </c>
      <c r="H120" s="158"/>
      <c r="I120" s="3"/>
    </row>
    <row r="121" spans="1:9">
      <c r="A121" s="3"/>
      <c r="B121" s="280" t="s">
        <v>95</v>
      </c>
      <c r="C121" s="281"/>
      <c r="D121" s="281"/>
      <c r="E121" s="281"/>
      <c r="F121" s="282"/>
      <c r="G121" s="146">
        <f>681342.54-25000-7560</f>
        <v>648782.54</v>
      </c>
      <c r="H121" s="158"/>
      <c r="I121" s="3"/>
    </row>
    <row r="122" spans="1:9">
      <c r="A122" s="3"/>
      <c r="B122" s="280" t="s">
        <v>159</v>
      </c>
      <c r="C122" s="281"/>
      <c r="D122" s="281"/>
      <c r="E122" s="281"/>
      <c r="F122" s="282"/>
      <c r="G122" s="249">
        <v>14910.6</v>
      </c>
      <c r="H122" s="158"/>
      <c r="I122" s="3"/>
    </row>
    <row r="123" spans="1:9">
      <c r="B123" s="280" t="s">
        <v>160</v>
      </c>
      <c r="C123" s="281"/>
      <c r="D123" s="281"/>
      <c r="E123" s="281"/>
      <c r="F123" s="282"/>
      <c r="G123" s="249">
        <v>26000</v>
      </c>
      <c r="H123" s="158"/>
      <c r="I123" s="12"/>
    </row>
    <row r="124" spans="1:9">
      <c r="B124" s="280" t="s">
        <v>161</v>
      </c>
      <c r="C124" s="281"/>
      <c r="D124" s="281"/>
      <c r="E124" s="281"/>
      <c r="F124" s="282"/>
      <c r="G124" s="249">
        <v>38490</v>
      </c>
      <c r="H124" s="158"/>
      <c r="I124" s="12"/>
    </row>
    <row r="125" spans="1:9">
      <c r="B125" s="280" t="s">
        <v>152</v>
      </c>
      <c r="C125" s="281"/>
      <c r="D125" s="281"/>
      <c r="E125" s="281"/>
      <c r="F125" s="282"/>
      <c r="G125" s="146">
        <f>174602.16-G127-G129-G130-G124-G126+3246</f>
        <v>81552.160000000003</v>
      </c>
      <c r="H125" s="158"/>
      <c r="I125" s="12"/>
    </row>
    <row r="126" spans="1:9">
      <c r="B126" s="280" t="s">
        <v>162</v>
      </c>
      <c r="C126" s="281"/>
      <c r="D126" s="281"/>
      <c r="E126" s="281"/>
      <c r="F126" s="282"/>
      <c r="G126" s="146">
        <v>20000</v>
      </c>
      <c r="H126" s="158"/>
      <c r="I126" s="12"/>
    </row>
    <row r="127" spans="1:9">
      <c r="B127" s="280" t="s">
        <v>102</v>
      </c>
      <c r="C127" s="281"/>
      <c r="D127" s="281"/>
      <c r="E127" s="281"/>
      <c r="F127" s="282"/>
      <c r="G127" s="146">
        <v>7560</v>
      </c>
      <c r="H127" s="158"/>
      <c r="I127" s="12"/>
    </row>
    <row r="128" spans="1:9">
      <c r="B128" s="280" t="s">
        <v>163</v>
      </c>
      <c r="C128" s="281"/>
      <c r="D128" s="281"/>
      <c r="E128" s="281"/>
      <c r="F128" s="282"/>
      <c r="G128" s="146">
        <v>44000</v>
      </c>
      <c r="H128" s="158"/>
      <c r="I128" s="12"/>
    </row>
    <row r="129" spans="1:9">
      <c r="B129" s="280" t="s">
        <v>164</v>
      </c>
      <c r="C129" s="281"/>
      <c r="D129" s="281"/>
      <c r="E129" s="281"/>
      <c r="F129" s="282"/>
      <c r="G129" s="146">
        <v>25000</v>
      </c>
      <c r="H129" s="158"/>
      <c r="I129" s="12"/>
    </row>
    <row r="130" spans="1:9">
      <c r="B130" s="280" t="s">
        <v>103</v>
      </c>
      <c r="C130" s="281"/>
      <c r="D130" s="281"/>
      <c r="E130" s="281"/>
      <c r="F130" s="282"/>
      <c r="G130" s="146">
        <f>2000+3246</f>
        <v>5246</v>
      </c>
      <c r="H130" s="158"/>
      <c r="I130" s="12"/>
    </row>
    <row r="131" spans="1:9">
      <c r="B131" s="280" t="s">
        <v>165</v>
      </c>
      <c r="C131" s="281"/>
      <c r="D131" s="281"/>
      <c r="E131" s="281"/>
      <c r="F131" s="282"/>
      <c r="G131" s="152">
        <v>11750</v>
      </c>
      <c r="H131" s="158"/>
      <c r="I131" s="12"/>
    </row>
    <row r="132" spans="1:9">
      <c r="A132" s="3"/>
      <c r="B132" s="280" t="s">
        <v>166</v>
      </c>
      <c r="C132" s="281"/>
      <c r="D132" s="281"/>
      <c r="E132" s="281"/>
      <c r="F132" s="282"/>
      <c r="G132" s="152">
        <v>24872</v>
      </c>
      <c r="H132" s="158"/>
      <c r="I132" s="11"/>
    </row>
    <row r="133" spans="1:9" ht="21">
      <c r="A133" s="3"/>
      <c r="B133" s="283" t="s">
        <v>167</v>
      </c>
      <c r="C133" s="284"/>
      <c r="D133" s="284"/>
      <c r="E133" s="284"/>
      <c r="F133" s="285"/>
      <c r="G133" s="250">
        <v>6750</v>
      </c>
      <c r="H133" s="251"/>
      <c r="I133" s="11"/>
    </row>
    <row r="134" spans="1:9" ht="16.5" customHeight="1">
      <c r="A134" s="3"/>
      <c r="B134" s="286" t="s">
        <v>168</v>
      </c>
      <c r="C134" s="286"/>
      <c r="D134" s="286"/>
      <c r="E134" s="286"/>
      <c r="F134" s="286"/>
      <c r="G134" s="152">
        <v>36129</v>
      </c>
      <c r="H134" s="251"/>
      <c r="I134" s="11"/>
    </row>
    <row r="135" spans="1:9" ht="21.75" thickBot="1">
      <c r="A135" s="3"/>
      <c r="B135" s="287" t="s">
        <v>75</v>
      </c>
      <c r="C135" s="288"/>
      <c r="D135" s="288"/>
      <c r="E135" s="288"/>
      <c r="F135" s="289"/>
      <c r="G135" s="252">
        <f>F120-G120</f>
        <v>15150.139999999898</v>
      </c>
      <c r="H135" s="253"/>
      <c r="I135" s="11"/>
    </row>
    <row r="136" spans="1:9" ht="16.5" customHeight="1" thickBot="1">
      <c r="A136" s="3"/>
      <c r="B136" s="19"/>
      <c r="F136" s="59"/>
      <c r="G136" s="254"/>
      <c r="H136" s="253"/>
      <c r="I136" s="60"/>
    </row>
    <row r="137" spans="1:9" ht="21.75" thickBot="1">
      <c r="A137" s="3"/>
      <c r="B137" s="255" t="s">
        <v>105</v>
      </c>
      <c r="C137" s="256"/>
      <c r="D137" s="256"/>
      <c r="E137" s="256"/>
      <c r="F137" s="257">
        <f>G137-29</f>
        <v>2421071</v>
      </c>
      <c r="G137" s="258">
        <v>2421100</v>
      </c>
      <c r="H137" s="253"/>
      <c r="I137" s="60"/>
    </row>
    <row r="138" spans="1:9" ht="13.5" customHeight="1" thickBot="1">
      <c r="B138" s="153"/>
      <c r="C138" s="259"/>
      <c r="D138" s="259"/>
      <c r="E138" s="259"/>
      <c r="F138" s="59"/>
      <c r="G138" s="151"/>
      <c r="H138" s="253"/>
    </row>
    <row r="139" spans="1:9" ht="19.5" thickBot="1">
      <c r="B139" s="255" t="s">
        <v>169</v>
      </c>
      <c r="C139" s="256"/>
      <c r="D139" s="256"/>
      <c r="E139" s="256"/>
      <c r="F139" s="257">
        <f>F114+F115+F116+F117+F120+F137</f>
        <v>10086761.75</v>
      </c>
      <c r="G139" s="260">
        <f>G83+G97+G111+G120+G137</f>
        <v>9511515.879999999</v>
      </c>
      <c r="I139" s="20"/>
    </row>
    <row r="140" spans="1:9" ht="19.5" thickBot="1">
      <c r="B140" s="255" t="s">
        <v>57</v>
      </c>
      <c r="C140" s="256"/>
      <c r="D140" s="256"/>
      <c r="E140" s="256"/>
      <c r="F140" s="257"/>
      <c r="G140" s="260">
        <f>F139-G139</f>
        <v>575245.87000000104</v>
      </c>
    </row>
    <row r="141" spans="1:9" ht="9" customHeight="1">
      <c r="G141" s="147"/>
    </row>
    <row r="142" spans="1:9" ht="15.75" customHeight="1">
      <c r="B142" s="276" t="s">
        <v>110</v>
      </c>
      <c r="C142" s="276"/>
      <c r="D142" s="276"/>
      <c r="E142" s="276"/>
      <c r="F142" s="276"/>
      <c r="G142" s="276"/>
      <c r="H142" s="267"/>
      <c r="I142" s="267"/>
    </row>
    <row r="143" spans="1:9" ht="18.75" customHeight="1">
      <c r="B143" s="278" t="s">
        <v>122</v>
      </c>
      <c r="C143" s="278"/>
      <c r="D143" s="278"/>
      <c r="E143" s="278"/>
      <c r="F143" s="278"/>
      <c r="G143" s="278"/>
      <c r="H143" s="263"/>
      <c r="I143" s="267"/>
    </row>
    <row r="144" spans="1:9" ht="21" customHeight="1">
      <c r="B144" s="278" t="s">
        <v>131</v>
      </c>
      <c r="C144" s="278"/>
      <c r="D144" s="278"/>
      <c r="E144" s="278"/>
      <c r="F144" s="278"/>
      <c r="G144" s="278"/>
      <c r="H144" s="278"/>
      <c r="I144" s="267"/>
    </row>
    <row r="145" spans="2:9" s="150" customFormat="1" ht="15.75">
      <c r="B145" s="279" t="s">
        <v>111</v>
      </c>
      <c r="C145" s="279"/>
      <c r="D145" s="279"/>
      <c r="E145" s="279"/>
      <c r="F145" s="279"/>
      <c r="G145" s="268"/>
      <c r="H145" s="269"/>
      <c r="I145" s="270"/>
    </row>
    <row r="146" spans="2:9" s="150" customFormat="1" ht="15.75">
      <c r="B146" s="279" t="s">
        <v>112</v>
      </c>
      <c r="C146" s="279"/>
      <c r="D146" s="279"/>
      <c r="E146" s="279"/>
      <c r="F146" s="279"/>
      <c r="G146" s="268"/>
      <c r="H146" s="269"/>
      <c r="I146" s="270"/>
    </row>
    <row r="147" spans="2:9" s="150" customFormat="1" ht="15.75">
      <c r="B147" s="279" t="s">
        <v>113</v>
      </c>
      <c r="C147" s="279"/>
      <c r="D147" s="279"/>
      <c r="E147" s="279"/>
      <c r="F147" s="279"/>
      <c r="G147" s="268"/>
      <c r="H147" s="269"/>
      <c r="I147" s="270"/>
    </row>
    <row r="148" spans="2:9" s="150" customFormat="1" ht="14.25" customHeight="1">
      <c r="B148" s="271" t="s">
        <v>170</v>
      </c>
      <c r="C148" s="271"/>
      <c r="D148" s="271"/>
      <c r="E148" s="271"/>
      <c r="F148" s="271"/>
      <c r="G148" s="268"/>
      <c r="H148" s="269"/>
      <c r="I148" s="270"/>
    </row>
    <row r="149" spans="2:9" ht="15.75">
      <c r="B149" s="273" t="s">
        <v>123</v>
      </c>
      <c r="C149" s="273"/>
      <c r="D149" s="273"/>
      <c r="E149" s="273"/>
      <c r="F149" s="273"/>
      <c r="G149" s="273"/>
      <c r="H149" s="272"/>
      <c r="I149" s="272"/>
    </row>
    <row r="150" spans="2:9" ht="8.25" customHeight="1">
      <c r="B150" s="265"/>
      <c r="C150" s="265"/>
      <c r="D150" s="265"/>
      <c r="E150" s="265"/>
      <c r="F150" s="265"/>
      <c r="G150" s="265"/>
      <c r="H150" s="272"/>
      <c r="I150" s="272"/>
    </row>
    <row r="151" spans="2:9" ht="15.75">
      <c r="B151" s="276" t="s">
        <v>114</v>
      </c>
      <c r="C151" s="276"/>
      <c r="D151" s="276"/>
      <c r="E151" s="276"/>
      <c r="F151" s="276"/>
      <c r="G151" s="276"/>
      <c r="H151" s="263"/>
    </row>
    <row r="152" spans="2:9" ht="21.75" customHeight="1">
      <c r="B152" s="277" t="s">
        <v>132</v>
      </c>
      <c r="C152" s="277"/>
      <c r="D152" s="277"/>
      <c r="E152" s="277"/>
      <c r="F152" s="277"/>
      <c r="G152" s="277"/>
      <c r="H152" s="277"/>
      <c r="I152" s="261"/>
    </row>
    <row r="153" spans="2:9" ht="17.25" customHeight="1">
      <c r="B153" s="277" t="s">
        <v>115</v>
      </c>
      <c r="C153" s="277"/>
      <c r="D153" s="277"/>
      <c r="E153" s="277"/>
      <c r="F153" s="277"/>
      <c r="G153" s="277"/>
      <c r="H153" s="266"/>
      <c r="I153" s="261"/>
    </row>
    <row r="154" spans="2:9" ht="33" customHeight="1">
      <c r="B154" s="277" t="s">
        <v>125</v>
      </c>
      <c r="C154" s="277"/>
      <c r="D154" s="277"/>
      <c r="E154" s="277"/>
      <c r="F154" s="277"/>
      <c r="G154" s="277"/>
      <c r="H154" s="266"/>
      <c r="I154" s="261"/>
    </row>
    <row r="155" spans="2:9" ht="40.5" customHeight="1">
      <c r="B155" s="277" t="s">
        <v>129</v>
      </c>
      <c r="C155" s="277"/>
      <c r="D155" s="277"/>
      <c r="E155" s="277"/>
      <c r="F155" s="277"/>
      <c r="G155" s="277"/>
      <c r="H155" s="277"/>
      <c r="I155" s="277"/>
    </row>
    <row r="156" spans="2:9" ht="19.5" customHeight="1">
      <c r="B156" s="277" t="s">
        <v>124</v>
      </c>
      <c r="C156" s="277"/>
      <c r="D156" s="277"/>
      <c r="E156" s="277"/>
      <c r="F156" s="277"/>
      <c r="G156" s="277"/>
      <c r="H156" s="277"/>
      <c r="I156" s="261"/>
    </row>
    <row r="157" spans="2:9" ht="23.25" customHeight="1">
      <c r="B157" s="277" t="s">
        <v>116</v>
      </c>
      <c r="C157" s="277"/>
      <c r="D157" s="277"/>
      <c r="E157" s="277"/>
      <c r="F157" s="277"/>
      <c r="G157" s="277"/>
      <c r="H157" s="277"/>
      <c r="I157" s="277"/>
    </row>
    <row r="158" spans="2:9" ht="33.75" customHeight="1">
      <c r="B158" s="277" t="s">
        <v>117</v>
      </c>
      <c r="C158" s="277"/>
      <c r="D158" s="277"/>
      <c r="E158" s="277"/>
      <c r="F158" s="277"/>
      <c r="G158" s="277"/>
      <c r="H158" s="277"/>
      <c r="I158" s="277"/>
    </row>
    <row r="159" spans="2:9" ht="34.5" customHeight="1">
      <c r="B159" s="277" t="s">
        <v>130</v>
      </c>
      <c r="C159" s="277"/>
      <c r="D159" s="277"/>
      <c r="E159" s="277"/>
      <c r="F159" s="277"/>
      <c r="G159" s="277"/>
      <c r="H159" s="277"/>
      <c r="I159" s="277"/>
    </row>
    <row r="160" spans="2:9" ht="21.75" customHeight="1">
      <c r="B160" s="277" t="s">
        <v>126</v>
      </c>
      <c r="C160" s="277"/>
      <c r="D160" s="277"/>
      <c r="E160" s="277"/>
      <c r="F160" s="277"/>
      <c r="G160" s="277"/>
      <c r="H160" s="277"/>
      <c r="I160" s="277"/>
    </row>
    <row r="161" spans="2:9" ht="34.5" customHeight="1">
      <c r="B161" s="277" t="s">
        <v>118</v>
      </c>
      <c r="C161" s="277"/>
      <c r="D161" s="277"/>
      <c r="E161" s="277"/>
      <c r="F161" s="277"/>
      <c r="G161" s="277"/>
      <c r="H161" s="277"/>
      <c r="I161" s="277"/>
    </row>
    <row r="162" spans="2:9" ht="24.75" customHeight="1">
      <c r="B162" s="277" t="s">
        <v>119</v>
      </c>
      <c r="C162" s="277"/>
      <c r="D162" s="277"/>
      <c r="E162" s="277"/>
      <c r="F162" s="277"/>
      <c r="G162" s="277"/>
      <c r="H162" s="277"/>
      <c r="I162" s="277"/>
    </row>
    <row r="163" spans="2:9" ht="33.75" customHeight="1">
      <c r="B163" s="277" t="s">
        <v>120</v>
      </c>
      <c r="C163" s="277"/>
      <c r="D163" s="277"/>
      <c r="E163" s="277"/>
      <c r="F163" s="277"/>
      <c r="G163" s="277"/>
      <c r="H163" s="277"/>
      <c r="I163" s="277"/>
    </row>
    <row r="164" spans="2:9" ht="34.5" customHeight="1">
      <c r="B164" s="277" t="s">
        <v>127</v>
      </c>
      <c r="C164" s="277"/>
      <c r="D164" s="277"/>
      <c r="E164" s="277"/>
      <c r="F164" s="277"/>
      <c r="G164" s="277"/>
      <c r="H164" s="277"/>
      <c r="I164" s="277"/>
    </row>
    <row r="165" spans="2:9" ht="24.75" customHeight="1">
      <c r="B165" s="277" t="s">
        <v>128</v>
      </c>
      <c r="C165" s="277"/>
      <c r="D165" s="277"/>
      <c r="E165" s="277"/>
      <c r="F165" s="277"/>
      <c r="G165" s="277"/>
      <c r="H165" s="277"/>
      <c r="I165" s="277"/>
    </row>
    <row r="166" spans="2:9" ht="21" customHeight="1">
      <c r="B166" s="274" t="s">
        <v>121</v>
      </c>
      <c r="C166" s="274"/>
      <c r="D166" s="274"/>
      <c r="E166" s="274"/>
      <c r="F166" s="274"/>
      <c r="G166" s="274"/>
      <c r="H166" s="264"/>
    </row>
    <row r="167" spans="2:9" ht="78" customHeight="1">
      <c r="B167" s="273" t="s">
        <v>171</v>
      </c>
      <c r="C167" s="273"/>
      <c r="D167" s="273"/>
      <c r="E167" s="273"/>
      <c r="F167" s="273"/>
      <c r="G167" s="273"/>
      <c r="H167" s="273"/>
      <c r="I167" s="273"/>
    </row>
    <row r="168" spans="2:9" ht="32.25" customHeight="1">
      <c r="B168" s="273" t="s">
        <v>172</v>
      </c>
      <c r="C168" s="273"/>
      <c r="D168" s="273"/>
      <c r="E168" s="273"/>
      <c r="F168" s="273"/>
      <c r="G168" s="273"/>
      <c r="H168" s="273"/>
      <c r="I168" s="273"/>
    </row>
    <row r="169" spans="2:9" ht="51.75" customHeight="1">
      <c r="B169" s="273" t="s">
        <v>173</v>
      </c>
      <c r="C169" s="273"/>
      <c r="D169" s="273"/>
      <c r="E169" s="273"/>
      <c r="F169" s="273"/>
      <c r="G169" s="273"/>
      <c r="H169" s="273"/>
      <c r="I169" s="273"/>
    </row>
    <row r="170" spans="2:9" ht="21.75" customHeight="1">
      <c r="B170" s="273" t="s">
        <v>174</v>
      </c>
      <c r="C170" s="273"/>
      <c r="D170" s="273"/>
      <c r="E170" s="273"/>
      <c r="F170" s="273"/>
      <c r="G170" s="273"/>
      <c r="H170" s="273"/>
      <c r="I170" s="262"/>
    </row>
    <row r="171" spans="2:9" ht="54" customHeight="1">
      <c r="B171" s="273" t="s">
        <v>175</v>
      </c>
      <c r="C171" s="273"/>
      <c r="D171" s="273"/>
      <c r="E171" s="273"/>
      <c r="F171" s="273"/>
      <c r="G171" s="273"/>
      <c r="H171" s="273"/>
      <c r="I171" s="273"/>
    </row>
    <row r="172" spans="2:9" ht="37.5" customHeight="1">
      <c r="B172" s="275" t="s">
        <v>176</v>
      </c>
      <c r="C172" s="275"/>
      <c r="D172" s="275"/>
      <c r="E172" s="275"/>
      <c r="F172" s="275"/>
      <c r="G172" s="275"/>
      <c r="H172" s="275"/>
      <c r="I172" s="275"/>
    </row>
    <row r="173" spans="2:9" ht="33.75" customHeight="1">
      <c r="B173" s="275" t="s">
        <v>177</v>
      </c>
      <c r="C173" s="275"/>
      <c r="D173" s="275"/>
      <c r="E173" s="275"/>
      <c r="F173" s="275"/>
      <c r="G173" s="275"/>
      <c r="H173" s="275"/>
      <c r="I173" s="275"/>
    </row>
  </sheetData>
  <mergeCells count="125">
    <mergeCell ref="C3:F3"/>
    <mergeCell ref="C4:F4"/>
    <mergeCell ref="B6:H6"/>
    <mergeCell ref="B7:B8"/>
    <mergeCell ref="C7:C8"/>
    <mergeCell ref="D7:H7"/>
    <mergeCell ref="B25:C25"/>
    <mergeCell ref="B26:C26"/>
    <mergeCell ref="B27:C27"/>
    <mergeCell ref="B28:C28"/>
    <mergeCell ref="B29:C29"/>
    <mergeCell ref="B30:C30"/>
    <mergeCell ref="I7:I8"/>
    <mergeCell ref="B14:G14"/>
    <mergeCell ref="B15:C16"/>
    <mergeCell ref="D15:H15"/>
    <mergeCell ref="I15:I16"/>
    <mergeCell ref="B24:C24"/>
    <mergeCell ref="C38:D38"/>
    <mergeCell ref="C39:D39"/>
    <mergeCell ref="C40:D40"/>
    <mergeCell ref="B41:D41"/>
    <mergeCell ref="B42:F42"/>
    <mergeCell ref="B46:E46"/>
    <mergeCell ref="C33:E33"/>
    <mergeCell ref="F33:G33"/>
    <mergeCell ref="C34:D34"/>
    <mergeCell ref="C35:D35"/>
    <mergeCell ref="C36:D36"/>
    <mergeCell ref="C37:D37"/>
    <mergeCell ref="B64:D64"/>
    <mergeCell ref="B66:G66"/>
    <mergeCell ref="B68:E68"/>
    <mergeCell ref="F68:F69"/>
    <mergeCell ref="G68:G69"/>
    <mergeCell ref="B69:E69"/>
    <mergeCell ref="B50:F50"/>
    <mergeCell ref="B58:G58"/>
    <mergeCell ref="B60:D60"/>
    <mergeCell ref="B61:D61"/>
    <mergeCell ref="B62:D62"/>
    <mergeCell ref="B63:D63"/>
    <mergeCell ref="B76:E76"/>
    <mergeCell ref="B77:E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B75:E75"/>
    <mergeCell ref="B92:F92"/>
    <mergeCell ref="B93:F93"/>
    <mergeCell ref="B94:F94"/>
    <mergeCell ref="B95:F95"/>
    <mergeCell ref="B96:F96"/>
    <mergeCell ref="B100:F100"/>
    <mergeCell ref="B82:E82"/>
    <mergeCell ref="B87:F87"/>
    <mergeCell ref="B88:F88"/>
    <mergeCell ref="B89:F89"/>
    <mergeCell ref="B90:F90"/>
    <mergeCell ref="B91:F91"/>
    <mergeCell ref="B107:F107"/>
    <mergeCell ref="B108:F108"/>
    <mergeCell ref="B109:F109"/>
    <mergeCell ref="C114:E114"/>
    <mergeCell ref="C115:E115"/>
    <mergeCell ref="C116:E116"/>
    <mergeCell ref="B101:F101"/>
    <mergeCell ref="B102:F102"/>
    <mergeCell ref="B103:F103"/>
    <mergeCell ref="B104:F104"/>
    <mergeCell ref="B105:F105"/>
    <mergeCell ref="B106:F106"/>
    <mergeCell ref="B125:F125"/>
    <mergeCell ref="B126:F126"/>
    <mergeCell ref="B127:F127"/>
    <mergeCell ref="B128:F128"/>
    <mergeCell ref="B129:F129"/>
    <mergeCell ref="B130:F130"/>
    <mergeCell ref="C117:E117"/>
    <mergeCell ref="C118:E118"/>
    <mergeCell ref="B121:F121"/>
    <mergeCell ref="B122:F122"/>
    <mergeCell ref="B123:F123"/>
    <mergeCell ref="B124:F124"/>
    <mergeCell ref="B143:G143"/>
    <mergeCell ref="B145:F145"/>
    <mergeCell ref="B146:F146"/>
    <mergeCell ref="B147:F147"/>
    <mergeCell ref="B149:G149"/>
    <mergeCell ref="B131:F131"/>
    <mergeCell ref="B132:F132"/>
    <mergeCell ref="B133:F133"/>
    <mergeCell ref="B134:F134"/>
    <mergeCell ref="B135:F135"/>
    <mergeCell ref="B142:G142"/>
    <mergeCell ref="B144:H144"/>
    <mergeCell ref="B170:H170"/>
    <mergeCell ref="B166:G166"/>
    <mergeCell ref="B169:I169"/>
    <mergeCell ref="B171:I171"/>
    <mergeCell ref="B172:I172"/>
    <mergeCell ref="B173:I173"/>
    <mergeCell ref="B151:G151"/>
    <mergeCell ref="B153:G153"/>
    <mergeCell ref="B154:G154"/>
    <mergeCell ref="B156:H156"/>
    <mergeCell ref="B152:H152"/>
    <mergeCell ref="B155:I155"/>
    <mergeCell ref="B157:I157"/>
    <mergeCell ref="B158:I158"/>
    <mergeCell ref="B159:I159"/>
    <mergeCell ref="B160:I160"/>
    <mergeCell ref="B161:I161"/>
    <mergeCell ref="B162:I162"/>
    <mergeCell ref="B163:I163"/>
    <mergeCell ref="B164:I164"/>
    <mergeCell ref="B165:I165"/>
    <mergeCell ref="B167:I167"/>
    <mergeCell ref="B168:I168"/>
  </mergeCells>
  <pageMargins left="0.23622047244094491" right="0" top="0.74803149606299213" bottom="0.74803149606299213" header="0.31496062992125984" footer="0.31496062992125984"/>
  <pageSetup paperSize="9" scale="87" orientation="portrait" r:id="rId1"/>
  <rowBreaks count="4" manualBreakCount="4">
    <brk id="45" max="8" man="1"/>
    <brk id="86" max="8" man="1"/>
    <brk id="98" max="8" man="1"/>
    <brk id="1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2018-05-14T11:22:20Z</dcterms:modified>
</cp:coreProperties>
</file>